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ldFusion2018\cfusion\wwwroot\grunsports\macr\2024\"/>
    </mc:Choice>
  </mc:AlternateContent>
  <xr:revisionPtr revIDLastSave="0" documentId="13_ncr:1_{54030764-7DBB-4500-8591-A5B0E7AC1799}" xr6:coauthVersionLast="47" xr6:coauthVersionMax="47" xr10:uidLastSave="{00000000-0000-0000-0000-000000000000}"/>
  <bookViews>
    <workbookView xWindow="-28920" yWindow="-120" windowWidth="29040" windowHeight="15840" xr2:uid="{A87C4928-479C-495D-B83C-9A4541125DEA}"/>
  </bookViews>
  <sheets>
    <sheet name="Overall 2024" sheetId="1" r:id="rId1"/>
    <sheet name="BAH &amp; ATT 2024" sheetId="8" r:id="rId2"/>
    <sheet name="Overall 2023" sheetId="9" r:id="rId3"/>
    <sheet name="BAH &amp; ATT 2023" sheetId="4" r:id="rId4"/>
    <sheet name="PR 2023" sheetId="6" r:id="rId5"/>
    <sheet name="PVTC 2023" sheetId="7" r:id="rId6"/>
  </sheets>
  <definedNames>
    <definedName name="_xlnm.Print_Area" localSheetId="1">'BAH &amp; ATT 2024'!$A$1:$AH$56</definedName>
    <definedName name="_xlnm.Print_Area" localSheetId="2">'Overall 2023'!#REF!</definedName>
    <definedName name="_xlnm.Print_Area" localSheetId="0">'Overall 2024'!$Q$1:$AH$13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2" i="1" l="1"/>
  <c r="AD12" i="1"/>
  <c r="V12" i="1"/>
  <c r="W12" i="1"/>
  <c r="X12" i="1"/>
  <c r="Y12" i="1"/>
  <c r="Z12" i="1"/>
  <c r="AA12" i="1"/>
  <c r="AC12" i="1"/>
  <c r="X25" i="8"/>
  <c r="W25" i="8"/>
  <c r="W49" i="8"/>
  <c r="X49" i="8"/>
  <c r="T6" i="1"/>
  <c r="S53" i="8"/>
  <c r="S54" i="8"/>
  <c r="N12" i="1"/>
  <c r="N8" i="1"/>
  <c r="L8" i="1"/>
  <c r="I8" i="1"/>
  <c r="H8" i="1"/>
  <c r="L12" i="1"/>
  <c r="I12" i="1"/>
  <c r="H12" i="1"/>
  <c r="Q25" i="8"/>
  <c r="P25" i="8"/>
  <c r="P49" i="8"/>
  <c r="R49" i="8"/>
  <c r="R25" i="8"/>
  <c r="O25" i="8"/>
  <c r="O49" i="8"/>
  <c r="N49" i="8"/>
  <c r="N25" i="8"/>
  <c r="M25" i="8"/>
  <c r="L25" i="8"/>
  <c r="L49" i="8"/>
  <c r="J25" i="8"/>
  <c r="K49" i="8"/>
  <c r="I49" i="8"/>
  <c r="H49" i="8"/>
  <c r="I25" i="8"/>
  <c r="E15" i="8"/>
  <c r="AE20" i="9"/>
  <c r="AD20" i="9"/>
  <c r="AC20" i="9"/>
  <c r="AB20" i="9"/>
  <c r="AA20" i="9"/>
  <c r="Z20" i="9"/>
  <c r="Y20" i="9"/>
  <c r="X20" i="9"/>
  <c r="W20" i="9"/>
  <c r="V20" i="9"/>
  <c r="U20" i="9"/>
  <c r="R20" i="9"/>
  <c r="Q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6" i="9"/>
  <c r="AE16" i="9"/>
  <c r="AD16" i="9"/>
  <c r="AC16" i="9"/>
  <c r="AB16" i="9"/>
  <c r="AA16" i="9"/>
  <c r="Z16" i="9"/>
  <c r="Y16" i="9"/>
  <c r="X16" i="9"/>
  <c r="W16" i="9"/>
  <c r="V16" i="9"/>
  <c r="U16" i="9"/>
  <c r="R16" i="9"/>
  <c r="Q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N12" i="9"/>
  <c r="M12" i="9"/>
  <c r="L12" i="9"/>
  <c r="I12" i="9"/>
  <c r="H12" i="9"/>
  <c r="D12" i="9"/>
  <c r="C12" i="9"/>
  <c r="B12" i="9"/>
  <c r="AH12" i="9" s="1"/>
  <c r="T10" i="9"/>
  <c r="S10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N8" i="9"/>
  <c r="M8" i="9"/>
  <c r="L8" i="9"/>
  <c r="I8" i="9"/>
  <c r="H8" i="9"/>
  <c r="C8" i="9"/>
  <c r="B8" i="9"/>
  <c r="O8" i="9" s="1"/>
  <c r="T6" i="9"/>
  <c r="S6" i="9"/>
  <c r="AG8" i="9" l="1"/>
  <c r="AG12" i="9"/>
  <c r="AH8" i="9"/>
  <c r="AH16" i="9"/>
  <c r="O12" i="9"/>
  <c r="O16" i="9"/>
  <c r="M49" i="8" l="1"/>
  <c r="J49" i="8"/>
  <c r="K25" i="8"/>
  <c r="O12" i="1" l="1"/>
  <c r="O8" i="1"/>
  <c r="S72" i="4"/>
  <c r="S71" i="4"/>
  <c r="U12" i="1"/>
  <c r="U8" i="1"/>
  <c r="T12" i="1"/>
  <c r="T8" i="1"/>
  <c r="U10" i="1"/>
  <c r="U6" i="1"/>
  <c r="T10" i="1"/>
  <c r="N32" i="4"/>
  <c r="W67" i="4"/>
  <c r="Q32" i="4"/>
  <c r="Q67" i="4"/>
  <c r="M32" i="4"/>
  <c r="M67" i="4"/>
  <c r="R67" i="4"/>
  <c r="V67" i="4"/>
  <c r="V32" i="4"/>
  <c r="W32" i="4"/>
  <c r="K67" i="4"/>
  <c r="K32" i="4"/>
  <c r="P32" i="4"/>
  <c r="L32" i="4"/>
  <c r="P67" i="4"/>
  <c r="L67" i="4"/>
  <c r="J67" i="4"/>
  <c r="H32" i="7"/>
  <c r="I32" i="7"/>
  <c r="N32" i="7"/>
  <c r="O32" i="7"/>
  <c r="N67" i="4"/>
  <c r="I67" i="4"/>
  <c r="H67" i="4"/>
  <c r="R32" i="4"/>
  <c r="L32" i="6"/>
  <c r="H32" i="6"/>
  <c r="O32" i="4"/>
  <c r="I32" i="4"/>
  <c r="AE12" i="1"/>
  <c r="S12" i="1"/>
  <c r="R12" i="1"/>
  <c r="AG12" i="1" s="1"/>
  <c r="AE8" i="1"/>
  <c r="AD8" i="1"/>
  <c r="AC8" i="1"/>
  <c r="AB8" i="1"/>
  <c r="AA8" i="1"/>
  <c r="Z8" i="1"/>
  <c r="Y8" i="1"/>
  <c r="X8" i="1"/>
  <c r="W8" i="1"/>
  <c r="V8" i="1"/>
  <c r="S8" i="1"/>
  <c r="R8" i="1"/>
  <c r="M12" i="1"/>
  <c r="C12" i="1"/>
  <c r="B12" i="1"/>
  <c r="P12" i="1" s="1"/>
  <c r="M8" i="1"/>
  <c r="C8" i="1"/>
  <c r="B8" i="1"/>
  <c r="P8" i="1" l="1"/>
  <c r="AH8" i="1"/>
  <c r="AH12" i="1"/>
  <c r="AG8" i="1"/>
</calcChain>
</file>

<file path=xl/sharedStrings.xml><?xml version="1.0" encoding="utf-8"?>
<sst xmlns="http://schemas.openxmlformats.org/spreadsheetml/2006/main" count="1416" uniqueCount="552">
  <si>
    <t>MACR 2023 - Booz Allen Team</t>
  </si>
  <si>
    <t>Team</t>
  </si>
  <si>
    <t>EOY</t>
  </si>
  <si>
    <t>Saturday</t>
  </si>
  <si>
    <t>Sunday</t>
  </si>
  <si>
    <t>Gender</t>
  </si>
  <si>
    <t>First</t>
  </si>
  <si>
    <t>Last</t>
  </si>
  <si>
    <t>DOB</t>
  </si>
  <si>
    <t xml:space="preserve"> Age</t>
  </si>
  <si>
    <t>Sat</t>
  </si>
  <si>
    <t>Sun</t>
  </si>
  <si>
    <t>High</t>
  </si>
  <si>
    <t>Discus</t>
  </si>
  <si>
    <t>400m</t>
  </si>
  <si>
    <t>100m</t>
  </si>
  <si>
    <t>1500m</t>
  </si>
  <si>
    <t>800m</t>
  </si>
  <si>
    <t>200m</t>
  </si>
  <si>
    <t>3200m</t>
  </si>
  <si>
    <t>4x100</t>
  </si>
  <si>
    <t>Shot</t>
  </si>
  <si>
    <t>Long</t>
  </si>
  <si>
    <t>4x400</t>
  </si>
  <si>
    <t>SubM_D</t>
  </si>
  <si>
    <t>Seniors</t>
  </si>
  <si>
    <t>3-Lap</t>
  </si>
  <si>
    <t>Women</t>
  </si>
  <si>
    <t>4x200</t>
  </si>
  <si>
    <t>SubM_S</t>
  </si>
  <si>
    <t>Pyramid</t>
  </si>
  <si>
    <t>Masters</t>
  </si>
  <si>
    <t>Throwers</t>
  </si>
  <si>
    <t>Sprint</t>
  </si>
  <si>
    <t>Comments</t>
  </si>
  <si>
    <t>AT&amp;T</t>
  </si>
  <si>
    <t>pts</t>
  </si>
  <si>
    <t>BAH</t>
  </si>
  <si>
    <t>ParkRun</t>
  </si>
  <si>
    <t>PVTC</t>
  </si>
  <si>
    <t>Totals</t>
  </si>
  <si>
    <t>Drop 4 lowest last scores</t>
  </si>
  <si>
    <t>200m (M)</t>
  </si>
  <si>
    <t>200m (W)</t>
  </si>
  <si>
    <t>100m (M)</t>
  </si>
  <si>
    <t>100m (W)</t>
  </si>
  <si>
    <t>400m (M)</t>
  </si>
  <si>
    <t>400m (W)</t>
  </si>
  <si>
    <t>Denise</t>
  </si>
  <si>
    <t>Lawson</t>
  </si>
  <si>
    <t>place</t>
  </si>
  <si>
    <t>?</t>
  </si>
  <si>
    <t>meters</t>
  </si>
  <si>
    <t>1.1.1.1</t>
  </si>
  <si>
    <t>max 3</t>
  </si>
  <si>
    <t>4.4.4.4</t>
  </si>
  <si>
    <t>8.4.12.16</t>
  </si>
  <si>
    <t>2.4.6.4</t>
  </si>
  <si>
    <t>2.2.4.4</t>
  </si>
  <si>
    <t>8.4.4</t>
  </si>
  <si>
    <t>2.2.2.2</t>
  </si>
  <si>
    <t>2.2.4.8</t>
  </si>
  <si>
    <t>4.8.12.8.4</t>
  </si>
  <si>
    <t>8.4.8.2.2</t>
  </si>
  <si>
    <t>1.2.1</t>
  </si>
  <si>
    <t>2.2.4.4.2.2</t>
  </si>
  <si>
    <t>F</t>
  </si>
  <si>
    <t>Sarah</t>
  </si>
  <si>
    <t>Castellan</t>
  </si>
  <si>
    <t>23</t>
  </si>
  <si>
    <t>Wanda</t>
  </si>
  <si>
    <t>Gardiner</t>
  </si>
  <si>
    <t>59</t>
  </si>
  <si>
    <t>✓</t>
  </si>
  <si>
    <t>46.84
39.27
54.83%</t>
  </si>
  <si>
    <t>Madeline</t>
  </si>
  <si>
    <t>Hartlieb</t>
  </si>
  <si>
    <t>29</t>
  </si>
  <si>
    <t>X</t>
  </si>
  <si>
    <t>5:16.72
5:16.72
72.64%</t>
  </si>
  <si>
    <t>12:23.66
12:23.66
67.03%</t>
  </si>
  <si>
    <t>17.96
15.43
68.31%</t>
  </si>
  <si>
    <t>38.19
32.57
66.10%</t>
  </si>
  <si>
    <t>Avery</t>
  </si>
  <si>
    <t>Tarutani</t>
  </si>
  <si>
    <t>19</t>
  </si>
  <si>
    <t>Jennifer</t>
  </si>
  <si>
    <t>51</t>
  </si>
  <si>
    <t>Andrea</t>
  </si>
  <si>
    <t>Sommer</t>
  </si>
  <si>
    <t>50</t>
  </si>
  <si>
    <t>Devina</t>
  </si>
  <si>
    <t>Tomar</t>
  </si>
  <si>
    <t>Lori</t>
  </si>
  <si>
    <t>Powell</t>
  </si>
  <si>
    <t>M</t>
  </si>
  <si>
    <t>Chris</t>
  </si>
  <si>
    <t>Caravello</t>
  </si>
  <si>
    <t>41</t>
  </si>
  <si>
    <t>Robert</t>
  </si>
  <si>
    <t>Denmark</t>
  </si>
  <si>
    <t>57</t>
  </si>
  <si>
    <t>5:37.46
4:43.03
72.78%</t>
  </si>
  <si>
    <t>2:43.95
2:16.92
73.70%</t>
  </si>
  <si>
    <t>Rob</t>
  </si>
  <si>
    <t>Forsythe</t>
  </si>
  <si>
    <t>62.45
53.09
81.05%</t>
  </si>
  <si>
    <t>28.56
24.22
79.23%</t>
  </si>
  <si>
    <t>Teakpoo</t>
  </si>
  <si>
    <t>Harding</t>
  </si>
  <si>
    <t>40</t>
  </si>
  <si>
    <t>13.97
13.51
70.91%</t>
  </si>
  <si>
    <t>Joseph</t>
  </si>
  <si>
    <t>Harman Sr.</t>
  </si>
  <si>
    <t>52</t>
  </si>
  <si>
    <t>26.08
422</t>
  </si>
  <si>
    <t>15.29
13.63
70.29%</t>
  </si>
  <si>
    <t>31.80
27.88
68.83%</t>
  </si>
  <si>
    <t>Dave</t>
  </si>
  <si>
    <t>Perry</t>
  </si>
  <si>
    <t>38</t>
  </si>
  <si>
    <t>66.12
63.72
67.53%</t>
  </si>
  <si>
    <t>5:36.10
5:24.68
63.45%</t>
  </si>
  <si>
    <t>Brian</t>
  </si>
  <si>
    <t>Petrie</t>
  </si>
  <si>
    <t>49</t>
  </si>
  <si>
    <t>NH</t>
  </si>
  <si>
    <t>79.15
70.99
60.61%</t>
  </si>
  <si>
    <t>Nehemiah</t>
  </si>
  <si>
    <t>Robinson</t>
  </si>
  <si>
    <t>61</t>
  </si>
  <si>
    <t>29.00
24.28
39.46%</t>
  </si>
  <si>
    <t>Randy</t>
  </si>
  <si>
    <t>Scanlon</t>
  </si>
  <si>
    <t>66</t>
  </si>
  <si>
    <t>87.42
69.86
61.59%</t>
  </si>
  <si>
    <t>18.48
14.94
64.12%</t>
  </si>
  <si>
    <t>38.32
30.58
62.75%</t>
  </si>
  <si>
    <t>Steve</t>
  </si>
  <si>
    <t>Skolochenko</t>
  </si>
  <si>
    <t>81</t>
  </si>
  <si>
    <t>24.96
673</t>
  </si>
  <si>
    <t>Gordon</t>
  </si>
  <si>
    <t>Smith</t>
  </si>
  <si>
    <t>3:03.15
2:23.12
70.51%</t>
  </si>
  <si>
    <t>Marc</t>
  </si>
  <si>
    <t>58</t>
  </si>
  <si>
    <t>Curtis</t>
  </si>
  <si>
    <t>Tenney</t>
  </si>
  <si>
    <t>62</t>
  </si>
  <si>
    <t>1.15
754</t>
  </si>
  <si>
    <t>30.61
493</t>
  </si>
  <si>
    <t>35.19
28.86
66.49%</t>
  </si>
  <si>
    <t>Kent</t>
  </si>
  <si>
    <t>Willard</t>
  </si>
  <si>
    <t>M.</t>
  </si>
  <si>
    <t>Dalal</t>
  </si>
  <si>
    <t>Christopher</t>
  </si>
  <si>
    <t>Friend</t>
  </si>
  <si>
    <t>Jeff</t>
  </si>
  <si>
    <t>Hemminger</t>
  </si>
  <si>
    <t>son</t>
  </si>
  <si>
    <t>26</t>
  </si>
  <si>
    <t>754</t>
  </si>
  <si>
    <t>MACR 2023 - AT&amp;T Team</t>
  </si>
  <si>
    <t>Chelscia</t>
  </si>
  <si>
    <t>Pacheco</t>
  </si>
  <si>
    <t>39</t>
  </si>
  <si>
    <t>Jacklyn</t>
  </si>
  <si>
    <t>Slaughter</t>
  </si>
  <si>
    <t>36.22
29.58
72.79%</t>
  </si>
  <si>
    <t>Linda</t>
  </si>
  <si>
    <t>Hansen</t>
  </si>
  <si>
    <t>69</t>
  </si>
  <si>
    <t>10:05.06
7:20.31
52.25%</t>
  </si>
  <si>
    <t>23:36.95
17:11.83
48.31%</t>
  </si>
  <si>
    <t>Holly</t>
  </si>
  <si>
    <t>Barilla</t>
  </si>
  <si>
    <t>35.60
35.12
61.30%</t>
  </si>
  <si>
    <t>Jovette</t>
  </si>
  <si>
    <t>Jolicoeur</t>
  </si>
  <si>
    <t>64</t>
  </si>
  <si>
    <t>1.05
861</t>
  </si>
  <si>
    <t>21.88
520</t>
  </si>
  <si>
    <t>16.95
13.74
76.71%</t>
  </si>
  <si>
    <t>Tony</t>
  </si>
  <si>
    <t>Thurman</t>
  </si>
  <si>
    <t>1.30
787</t>
  </si>
  <si>
    <t>30.09
519</t>
  </si>
  <si>
    <t>Mike</t>
  </si>
  <si>
    <t>Bradecamp</t>
  </si>
  <si>
    <t>12.60
10.70
89.53%</t>
  </si>
  <si>
    <t>26.35
22.05
87.03%</t>
  </si>
  <si>
    <t>Ken</t>
  </si>
  <si>
    <t>Gibbons</t>
  </si>
  <si>
    <t>20:47.30
15:57.18
46.04%</t>
  </si>
  <si>
    <t>Phil</t>
  </si>
  <si>
    <t>63</t>
  </si>
  <si>
    <t>Joe</t>
  </si>
  <si>
    <t>Johns</t>
  </si>
  <si>
    <t>34.27
606</t>
  </si>
  <si>
    <t>6:10.63
4:57.66
69.21%</t>
  </si>
  <si>
    <t>15:10.34
12:07.00
60.61%</t>
  </si>
  <si>
    <t>Alfonzo</t>
  </si>
  <si>
    <t>Peterson</t>
  </si>
  <si>
    <t>47</t>
  </si>
  <si>
    <t>28.34
25.68
74.73%</t>
  </si>
  <si>
    <t>Brendan</t>
  </si>
  <si>
    <t>Putnam</t>
  </si>
  <si>
    <t>43</t>
  </si>
  <si>
    <t>78.37
73.12
58.85%</t>
  </si>
  <si>
    <t>14:38.28
13:47.26
53.27%</t>
  </si>
  <si>
    <t>Myreon</t>
  </si>
  <si>
    <t>Sartin</t>
  </si>
  <si>
    <t>35</t>
  </si>
  <si>
    <t>Marcus</t>
  </si>
  <si>
    <t>Shute</t>
  </si>
  <si>
    <t>60.37
49.94
86.16%</t>
  </si>
  <si>
    <t>33</t>
  </si>
  <si>
    <t>White</t>
  </si>
  <si>
    <t>MACR 2023 - ParkRun Team</t>
  </si>
  <si>
    <t>Katie</t>
  </si>
  <si>
    <t>Freix</t>
  </si>
  <si>
    <t>27</t>
  </si>
  <si>
    <t>1.60
797</t>
  </si>
  <si>
    <t>5:55.76
5:55.76
64.67%</t>
  </si>
  <si>
    <t>MACR 2023 - PVTC Team</t>
  </si>
  <si>
    <t>Karen</t>
  </si>
  <si>
    <t>Frazier</t>
  </si>
  <si>
    <t>1.10
902</t>
  </si>
  <si>
    <t>17.07
13.96
75.50%</t>
  </si>
  <si>
    <t>Laken</t>
  </si>
  <si>
    <t>Lackie</t>
  </si>
  <si>
    <t>31.92
31.92
67.45%</t>
  </si>
  <si>
    <t>Hannah</t>
  </si>
  <si>
    <t>Phillips</t>
  </si>
  <si>
    <t>71</t>
  </si>
  <si>
    <t>1:35.93
1:07.14
71.70%</t>
  </si>
  <si>
    <t>Mary Lowe</t>
  </si>
  <si>
    <t>Mayhugh</t>
  </si>
  <si>
    <t>67</t>
  </si>
  <si>
    <t>7:28.36
5:33.00
69.09%</t>
  </si>
  <si>
    <t>4:03.99
3:02.83
62.36%</t>
  </si>
  <si>
    <t>Mia</t>
  </si>
  <si>
    <t>Callenberg</t>
  </si>
  <si>
    <t>34</t>
  </si>
  <si>
    <t>32.30
490</t>
  </si>
  <si>
    <t>Wilkins</t>
  </si>
  <si>
    <t>19.37
460</t>
  </si>
  <si>
    <t>Freda</t>
  </si>
  <si>
    <t>Chase</t>
  </si>
  <si>
    <t>15.67
372</t>
  </si>
  <si>
    <t>Norris</t>
  </si>
  <si>
    <t>Hanes III</t>
  </si>
  <si>
    <t>56</t>
  </si>
  <si>
    <t>11.72
10.16
94.29%</t>
  </si>
  <si>
    <t>24.23
20.69
92.75%</t>
  </si>
  <si>
    <t>Dwayne</t>
  </si>
  <si>
    <t>Davis</t>
  </si>
  <si>
    <t>46</t>
  </si>
  <si>
    <t>14.32
13.30
72.03%</t>
  </si>
  <si>
    <t>30.51
27.83
68.95%</t>
  </si>
  <si>
    <t>David</t>
  </si>
  <si>
    <t>Jones</t>
  </si>
  <si>
    <t>14.58
12.04
79.57%</t>
  </si>
  <si>
    <t>Koontz</t>
  </si>
  <si>
    <t>79</t>
  </si>
  <si>
    <t>15.74
11.61
82.52%</t>
  </si>
  <si>
    <t>Wren</t>
  </si>
  <si>
    <t>Rudolph</t>
  </si>
  <si>
    <t>32</t>
  </si>
  <si>
    <t>13.06
13.06
73.35%</t>
  </si>
  <si>
    <t>27.61
27.56
69.63%</t>
  </si>
  <si>
    <t>Christopherq</t>
  </si>
  <si>
    <t>Hickey</t>
  </si>
  <si>
    <t>60</t>
  </si>
  <si>
    <t>28.09
23.35
82.18%</t>
  </si>
  <si>
    <t>Scott</t>
  </si>
  <si>
    <t>Werber</t>
  </si>
  <si>
    <t>32.92
27.37
70.11%</t>
  </si>
  <si>
    <t>Richard</t>
  </si>
  <si>
    <t>Hower</t>
  </si>
  <si>
    <t>72</t>
  </si>
  <si>
    <t>2:46.60
2:02.67
82.26%</t>
  </si>
  <si>
    <t>33.12
25.37
75.64%</t>
  </si>
  <si>
    <t>Pinkham</t>
  </si>
  <si>
    <t>5:10.60
4:13.89
81.14%</t>
  </si>
  <si>
    <t>2:27.55
2:00.21
83.94%</t>
  </si>
  <si>
    <t>Gary</t>
  </si>
  <si>
    <t>Vanderhoof</t>
  </si>
  <si>
    <t>2:42.43
2:04.80
80.86%</t>
  </si>
  <si>
    <t>Henry</t>
  </si>
  <si>
    <t>Wigglesworth</t>
  </si>
  <si>
    <t>65</t>
  </si>
  <si>
    <t>5:21.67
4:11.36
81.95%</t>
  </si>
  <si>
    <t>2:44.22
2:08.33
78.63%</t>
  </si>
  <si>
    <t>2:46.39
2:08.92
78.27%</t>
  </si>
  <si>
    <t>Ted</t>
  </si>
  <si>
    <t>Poulos</t>
  </si>
  <si>
    <t>8:10.91
6:34.25
52.25%</t>
  </si>
  <si>
    <t>Curt</t>
  </si>
  <si>
    <t>Foianini</t>
  </si>
  <si>
    <t>44.06
710</t>
  </si>
  <si>
    <t>36.56
589</t>
  </si>
  <si>
    <t>James</t>
  </si>
  <si>
    <t>Barrineau Jr.</t>
  </si>
  <si>
    <t>68</t>
  </si>
  <si>
    <t>30.68
543</t>
  </si>
  <si>
    <t>Pearce</t>
  </si>
  <si>
    <t>78</t>
  </si>
  <si>
    <t>20.53
525</t>
  </si>
  <si>
    <t>14:46.00
13:15.28
55.41%</t>
  </si>
  <si>
    <t>80.29
76.37
63.04%
1</t>
  </si>
  <si>
    <t>63.04</t>
  </si>
  <si>
    <t>81.05</t>
  </si>
  <si>
    <t>67.53</t>
  </si>
  <si>
    <t>60.61</t>
  </si>
  <si>
    <t>61.59</t>
  </si>
  <si>
    <t>58.85</t>
  </si>
  <si>
    <t>86.16</t>
  </si>
  <si>
    <t>68.31</t>
  </si>
  <si>
    <t>76.71</t>
  </si>
  <si>
    <t>70.91</t>
  </si>
  <si>
    <t>70.29</t>
  </si>
  <si>
    <t>39.46</t>
  </si>
  <si>
    <t>64.12</t>
  </si>
  <si>
    <t>89.53</t>
  </si>
  <si>
    <t>54.83</t>
  </si>
  <si>
    <t>66.10</t>
  </si>
  <si>
    <t>72.79</t>
  </si>
  <si>
    <t>61.30</t>
  </si>
  <si>
    <t>79.23</t>
  </si>
  <si>
    <t>68.83</t>
  </si>
  <si>
    <t>62.75</t>
  </si>
  <si>
    <t>66.49</t>
  </si>
  <si>
    <t>87.03</t>
  </si>
  <si>
    <t>74.73</t>
  </si>
  <si>
    <t>= AT&amp;T</t>
  </si>
  <si>
    <t>= BAH</t>
  </si>
  <si>
    <t>1st</t>
  </si>
  <si>
    <t>2nd</t>
  </si>
  <si>
    <t>3rd</t>
  </si>
  <si>
    <t>4th</t>
  </si>
  <si>
    <t>5th</t>
  </si>
  <si>
    <t>6th</t>
  </si>
  <si>
    <t>7th</t>
  </si>
  <si>
    <t>1,2</t>
  </si>
  <si>
    <t>1,2,4</t>
  </si>
  <si>
    <t>Individual pts: 10, 8, 7, 6, 5, 4, 3, 2, 1</t>
  </si>
  <si>
    <t>Place</t>
  </si>
  <si>
    <t>Points</t>
  </si>
  <si>
    <t>10</t>
  </si>
  <si>
    <t>8</t>
  </si>
  <si>
    <t>7</t>
  </si>
  <si>
    <t>6</t>
  </si>
  <si>
    <t>5</t>
  </si>
  <si>
    <t>4</t>
  </si>
  <si>
    <t>3</t>
  </si>
  <si>
    <t>places:</t>
  </si>
  <si>
    <t>points:</t>
  </si>
  <si>
    <t>3,5</t>
  </si>
  <si>
    <t>2,3,4</t>
  </si>
  <si>
    <t>non-scorer</t>
  </si>
  <si>
    <t>1,5</t>
  </si>
  <si>
    <t>7.57
549</t>
  </si>
  <si>
    <t>3.79
592</t>
  </si>
  <si>
    <t>10.42
617</t>
  </si>
  <si>
    <t>3.22
880</t>
  </si>
  <si>
    <t>8.58
726</t>
  </si>
  <si>
    <t>8.95
568</t>
  </si>
  <si>
    <t>11.41
774</t>
  </si>
  <si>
    <t>4:27.72</t>
  </si>
  <si>
    <t>4:53.39</t>
  </si>
  <si>
    <t>5:11.91</t>
  </si>
  <si>
    <t>6:25.90</t>
  </si>
  <si>
    <t>3:21.77</t>
  </si>
  <si>
    <t>3:30.15</t>
  </si>
  <si>
    <t>2:01.60</t>
  </si>
  <si>
    <t>2:30.37</t>
  </si>
  <si>
    <t>(no time)</t>
  </si>
  <si>
    <t>10:27.64</t>
  </si>
  <si>
    <t>Day 1</t>
  </si>
  <si>
    <t>Grand</t>
  </si>
  <si>
    <t>Day 2</t>
  </si>
  <si>
    <r>
      <t>Sunday</t>
    </r>
    <r>
      <rPr>
        <sz val="11"/>
        <color theme="1"/>
        <rFont val="Calibri"/>
        <family val="2"/>
        <scheme val="minor"/>
      </rPr>
      <t xml:space="preserve"> - 6/11/2023 - Madison HS</t>
    </r>
  </si>
  <si>
    <r>
      <t>Saturday</t>
    </r>
    <r>
      <rPr>
        <sz val="11"/>
        <color theme="1"/>
        <rFont val="Calibri"/>
        <family val="2"/>
        <scheme val="minor"/>
      </rPr>
      <t xml:space="preserve"> - 6/10/2023 - PG Sports Complex</t>
    </r>
  </si>
  <si>
    <t>Mid-Atlantic Corporate Relays (MACR) - 2023</t>
  </si>
  <si>
    <t>Day 1 results:</t>
  </si>
  <si>
    <t>Day 2 results:</t>
  </si>
  <si>
    <t>https://va.milesplit.com/meets/561492-2023-pvtc-mid-atlantic-corporate-relays-2023/results</t>
  </si>
  <si>
    <t>https://live.qwtiming.com/meets/26173</t>
  </si>
  <si>
    <t>Relay/Team/Field pts: 40, 34, 31, 28, 25, 22, 19, 16, 13, 10, 7, 4, 1</t>
  </si>
  <si>
    <t>(notes: M.Dalal's age is 62, not 25.  Tony Thurman calculated his shot distance due to unavailable shot weight)</t>
  </si>
  <si>
    <t>1,3</t>
  </si>
  <si>
    <t>2,4,5</t>
  </si>
  <si>
    <t>14.79
14.79
71.26%</t>
  </si>
  <si>
    <t>71.26</t>
  </si>
  <si>
    <t>31.67
31.67
67.98%</t>
  </si>
  <si>
    <t>67.98</t>
  </si>
  <si>
    <t>3.57
509</t>
  </si>
  <si>
    <t>Team Throw</t>
  </si>
  <si>
    <t>Team Jump</t>
  </si>
  <si>
    <t>WMA Sprint</t>
  </si>
  <si>
    <t>Mid-Atlantic Relays (MACR) - 2024</t>
  </si>
  <si>
    <r>
      <t>Saturday</t>
    </r>
    <r>
      <rPr>
        <sz val="11"/>
        <color theme="1"/>
        <rFont val="Calibri"/>
        <family val="2"/>
        <scheme val="minor"/>
      </rPr>
      <t xml:space="preserve"> - 6/08/2024 - Alexandria City HS</t>
    </r>
  </si>
  <si>
    <r>
      <t>Sunday</t>
    </r>
    <r>
      <rPr>
        <sz val="11"/>
        <color theme="1"/>
        <rFont val="Calibri"/>
        <family val="2"/>
        <scheme val="minor"/>
      </rPr>
      <t xml:space="preserve"> - 6/09/2024 - Alexandria City HS</t>
    </r>
  </si>
  <si>
    <t>W-400m</t>
  </si>
  <si>
    <t>M-400m</t>
  </si>
  <si>
    <t>W-100m</t>
  </si>
  <si>
    <t>M-100m</t>
  </si>
  <si>
    <t>W-200m</t>
  </si>
  <si>
    <t>M-200m</t>
  </si>
  <si>
    <t>Mukesh</t>
  </si>
  <si>
    <t>Ben</t>
  </si>
  <si>
    <t>Richter</t>
  </si>
  <si>
    <t>Paul</t>
  </si>
  <si>
    <t>Basola</t>
  </si>
  <si>
    <t>Kopchick</t>
  </si>
  <si>
    <t>Matt</t>
  </si>
  <si>
    <t>Kinsey-Korzym</t>
  </si>
  <si>
    <t>Ciaran</t>
  </si>
  <si>
    <t>Fraser</t>
  </si>
  <si>
    <t>MACR 2024 - AT&amp;T Team</t>
  </si>
  <si>
    <t>Emily</t>
  </si>
  <si>
    <t>Stegmeier</t>
  </si>
  <si>
    <t>25</t>
  </si>
  <si>
    <t>Bridget</t>
  </si>
  <si>
    <t>Carman</t>
  </si>
  <si>
    <t>Audrey</t>
  </si>
  <si>
    <t>Keene</t>
  </si>
  <si>
    <t>Becca</t>
  </si>
  <si>
    <t>Gallahue</t>
  </si>
  <si>
    <t>Laura</t>
  </si>
  <si>
    <t>Francica</t>
  </si>
  <si>
    <t>36</t>
  </si>
  <si>
    <t>48</t>
  </si>
  <si>
    <t>Halliday</t>
  </si>
  <si>
    <t>Bob</t>
  </si>
  <si>
    <t>Peters</t>
  </si>
  <si>
    <t>70</t>
  </si>
  <si>
    <t>Kristen</t>
  </si>
  <si>
    <t>Martin</t>
  </si>
  <si>
    <t>Breane</t>
  </si>
  <si>
    <t>Ashley</t>
  </si>
  <si>
    <t>Brown</t>
  </si>
  <si>
    <t>42</t>
  </si>
  <si>
    <t>Mile</t>
  </si>
  <si>
    <t>3000m</t>
  </si>
  <si>
    <t>5:45.90</t>
  </si>
  <si>
    <t>4:28.20</t>
  </si>
  <si>
    <t>48.58
48.58
44.32%</t>
  </si>
  <si>
    <t>1:42.06
1:42.06
47.17%</t>
  </si>
  <si>
    <t>50.50
41.97
51.30%</t>
  </si>
  <si>
    <t>19.99
16.75
62.93%</t>
  </si>
  <si>
    <t>18.31
15.60
67.56%</t>
  </si>
  <si>
    <t>1:07.08
1:06.51
72.38%</t>
  </si>
  <si>
    <t>6:52.17
6:39.36
63.18%</t>
  </si>
  <si>
    <t>37.38
29.63
64.77%</t>
  </si>
  <si>
    <t>1:01.40
52.20
82.43%</t>
  </si>
  <si>
    <t>9:22.40
8:51.19
42.01%</t>
  </si>
  <si>
    <t>18:51.40
18:02.08
40.72%</t>
  </si>
  <si>
    <t>6:02.30
5:05.57
73.02%</t>
  </si>
  <si>
    <t>6:28.69
6:23.88
58.12%</t>
  </si>
  <si>
    <t>3:03.28
2:42.06
62.27%</t>
  </si>
  <si>
    <t>59:52
55.89
76.99%</t>
  </si>
  <si>
    <t>27.22
25.48
75.31%</t>
  </si>
  <si>
    <t>1:18.11
1:18.11
55.09%</t>
  </si>
  <si>
    <t>22:59.69
22:59.69
31.94%</t>
  </si>
  <si>
    <t>1:22.15
1:22.15
52.38%</t>
  </si>
  <si>
    <t>17.35
17.36
55.18%</t>
  </si>
  <si>
    <t>36.66
36.66
52.35%</t>
  </si>
  <si>
    <t>18.81
18.81
56.03%</t>
  </si>
  <si>
    <t>40.87
40.87
52.68%</t>
  </si>
  <si>
    <t>37.76
30.56
70.45%</t>
  </si>
  <si>
    <t>10:42.11
7:46.24
54.12%</t>
  </si>
  <si>
    <t>23:21.48
16:48.09
49.45%</t>
  </si>
  <si>
    <t>1:02.58
1:02.58
76.93%</t>
  </si>
  <si>
    <t>12:11.77
12:11.77
68.12%</t>
  </si>
  <si>
    <t>3:52.49
2:58.63
56.49%</t>
  </si>
  <si>
    <t>6:17.20
4:56.14
75.35%</t>
  </si>
  <si>
    <t>12:59.28
10:10.18
72.22%</t>
  </si>
  <si>
    <t>1:02.25
51.14
84.14%</t>
  </si>
  <si>
    <t>13.85
13.85
69.17%</t>
  </si>
  <si>
    <t>5:16.83
5:05.21
73.11%</t>
  </si>
  <si>
    <t>6:16.99
5:15.28
70.77%</t>
  </si>
  <si>
    <t>10.50
159</t>
  </si>
  <si>
    <t>20.04
346</t>
  </si>
  <si>
    <t>1.18
619</t>
  </si>
  <si>
    <t>11.24
161</t>
  </si>
  <si>
    <t>6.78
97</t>
  </si>
  <si>
    <t>21.39
560</t>
  </si>
  <si>
    <t>40.14
647</t>
  </si>
  <si>
    <t>38.56
682</t>
  </si>
  <si>
    <t>1.03
921</t>
  </si>
  <si>
    <t>1.33
872</t>
  </si>
  <si>
    <t>76.93</t>
  </si>
  <si>
    <t>72.38</t>
  </si>
  <si>
    <t>47.17</t>
  </si>
  <si>
    <t>84.14</t>
  </si>
  <si>
    <t>82.43</t>
  </si>
  <si>
    <t>76.99</t>
  </si>
  <si>
    <t>55.09</t>
  </si>
  <si>
    <t>52.38</t>
  </si>
  <si>
    <t>2,3</t>
  </si>
  <si>
    <t>67.56</t>
  </si>
  <si>
    <t>62.93</t>
  </si>
  <si>
    <t>56.03</t>
  </si>
  <si>
    <t>69.17</t>
  </si>
  <si>
    <t>55.18</t>
  </si>
  <si>
    <t>1</t>
  </si>
  <si>
    <t>2</t>
  </si>
  <si>
    <t>70.45</t>
  </si>
  <si>
    <t>52.68</t>
  </si>
  <si>
    <t>51.30</t>
  </si>
  <si>
    <t>44.32</t>
  </si>
  <si>
    <t>3,4</t>
  </si>
  <si>
    <t>75.31</t>
  </si>
  <si>
    <t>64.77</t>
  </si>
  <si>
    <t>52.35</t>
  </si>
  <si>
    <t>1,2,3</t>
  </si>
  <si>
    <t>mile</t>
  </si>
  <si>
    <t>Desmond</t>
  </si>
  <si>
    <t>Furtick</t>
  </si>
  <si>
    <t>4.34
733</t>
  </si>
  <si>
    <t>3.80
542</t>
  </si>
  <si>
    <t>4.30
364</t>
  </si>
  <si>
    <t>4.27
193</t>
  </si>
  <si>
    <t>5.72
259</t>
  </si>
  <si>
    <t>8.39
779</t>
  </si>
  <si>
    <t>9.01
563</t>
  </si>
  <si>
    <t>10.63
721</t>
  </si>
  <si>
    <t>10.24
607</t>
  </si>
  <si>
    <t>3.02
951</t>
  </si>
  <si>
    <t>3.49
627</t>
  </si>
  <si>
    <t>5:06.27</t>
  </si>
  <si>
    <t>5:36.16</t>
  </si>
  <si>
    <t>8:57.07</t>
  </si>
  <si>
    <t>DNR</t>
  </si>
  <si>
    <t>4:58.51</t>
  </si>
  <si>
    <t>5:39.89</t>
  </si>
  <si>
    <t>3:46.83</t>
  </si>
  <si>
    <t>2:15.75</t>
  </si>
  <si>
    <t>1:59.87</t>
  </si>
  <si>
    <t>1:35.34</t>
  </si>
  <si>
    <t>4:54.61</t>
  </si>
  <si>
    <t>Drop 6 lowest last scores</t>
  </si>
  <si>
    <t>Results:</t>
  </si>
  <si>
    <t>https://milesplit.live/meets/624916</t>
  </si>
  <si>
    <t>Running Calculator:</t>
  </si>
  <si>
    <t>Field Event Calc:</t>
  </si>
  <si>
    <t>https://mastersrankings.com/new-age-grades/</t>
  </si>
  <si>
    <t>https://www.uscaa.grunsports.com/goodies/fieldCalc.html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</si>
</sst>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egoe UI Emoji"/>
      <family val="2"/>
    </font>
    <font>
      <sz val="11"/>
      <name val="Calibri"/>
      <family val="2"/>
      <scheme val="minor"/>
    </font>
    <font>
      <strike/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AFA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0"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0" fillId="2" borderId="0" xfId="0" applyFill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Alignment="1">
      <alignment horizontal="center"/>
    </xf>
    <xf numFmtId="0" fontId="2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3" xfId="0" applyFont="1" applyBorder="1"/>
    <xf numFmtId="0" fontId="4" fillId="5" borderId="3" xfId="0" applyFont="1" applyFill="1" applyBorder="1" applyAlignment="1">
      <alignment horizontal="right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3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14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Border="1"/>
    <xf numFmtId="49" fontId="5" fillId="0" borderId="0" xfId="0" applyNumberFormat="1" applyFont="1" applyAlignment="1">
      <alignment horizontal="center"/>
    </xf>
    <xf numFmtId="49" fontId="0" fillId="3" borderId="0" xfId="0" applyNumberFormat="1" applyFill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0" fillId="5" borderId="0" xfId="0" applyFill="1" applyAlignment="1">
      <alignment horizontal="right"/>
    </xf>
    <xf numFmtId="49" fontId="0" fillId="5" borderId="0" xfId="0" applyNumberFormat="1" applyFill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49" fontId="0" fillId="0" borderId="2" xfId="0" applyNumberFormat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6" xfId="0" applyFont="1" applyBorder="1"/>
    <xf numFmtId="0" fontId="0" fillId="2" borderId="0" xfId="0" applyFill="1" applyAlignment="1">
      <alignment horizontal="center"/>
    </xf>
    <xf numFmtId="49" fontId="6" fillId="0" borderId="2" xfId="0" applyNumberFormat="1" applyFont="1" applyBorder="1" applyAlignment="1">
      <alignment horizontal="center" wrapText="1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6" xfId="0" applyFont="1" applyBorder="1"/>
    <xf numFmtId="0" fontId="3" fillId="6" borderId="0" xfId="0" applyFont="1" applyFill="1" applyAlignment="1">
      <alignment horizontal="left" vertical="top"/>
    </xf>
    <xf numFmtId="0" fontId="3" fillId="6" borderId="0" xfId="0" applyFont="1" applyFill="1" applyAlignment="1">
      <alignment horizontal="right" vertical="top"/>
    </xf>
    <xf numFmtId="0" fontId="3" fillId="6" borderId="0" xfId="0" applyFont="1" applyFill="1" applyAlignment="1">
      <alignment vertical="top"/>
    </xf>
    <xf numFmtId="0" fontId="3" fillId="7" borderId="0" xfId="0" applyFont="1" applyFill="1" applyAlignment="1">
      <alignment horizontal="left" vertical="top"/>
    </xf>
    <xf numFmtId="0" fontId="3" fillId="7" borderId="0" xfId="0" applyFont="1" applyFill="1" applyAlignment="1">
      <alignment horizontal="right" vertical="top"/>
    </xf>
    <xf numFmtId="0" fontId="3" fillId="7" borderId="0" xfId="0" applyFont="1" applyFill="1" applyAlignment="1">
      <alignment vertical="top"/>
    </xf>
    <xf numFmtId="49" fontId="0" fillId="7" borderId="0" xfId="0" applyNumberFormat="1" applyFill="1" applyAlignment="1">
      <alignment horizontal="center"/>
    </xf>
    <xf numFmtId="49" fontId="0" fillId="6" borderId="0" xfId="0" applyNumberForma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6" borderId="0" xfId="0" applyFill="1"/>
    <xf numFmtId="0" fontId="0" fillId="8" borderId="0" xfId="0" applyFill="1"/>
    <xf numFmtId="0" fontId="0" fillId="0" borderId="0" xfId="0" quotePrefix="1" applyAlignment="1">
      <alignment horizontal="left"/>
    </xf>
    <xf numFmtId="49" fontId="0" fillId="0" borderId="4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49" fontId="0" fillId="9" borderId="0" xfId="0" applyNumberFormat="1" applyFill="1" applyAlignment="1">
      <alignment horizontal="center"/>
    </xf>
    <xf numFmtId="0" fontId="0" fillId="9" borderId="0" xfId="0" applyFill="1"/>
    <xf numFmtId="49" fontId="0" fillId="0" borderId="1" xfId="0" applyNumberFormat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4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5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2" fillId="8" borderId="0" xfId="0" applyNumberFormat="1" applyFont="1" applyFill="1" applyAlignment="1">
      <alignment horizontal="center"/>
    </xf>
    <xf numFmtId="0" fontId="8" fillId="0" borderId="0" xfId="1" applyAlignment="1">
      <alignment vertical="center"/>
    </xf>
    <xf numFmtId="49" fontId="2" fillId="3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 wrapText="1"/>
    </xf>
    <xf numFmtId="49" fontId="2" fillId="6" borderId="0" xfId="0" applyNumberFormat="1" applyFont="1" applyFill="1" applyAlignment="1">
      <alignment horizontal="center"/>
    </xf>
    <xf numFmtId="49" fontId="2" fillId="7" borderId="0" xfId="0" applyNumberFormat="1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6" fillId="0" borderId="0" xfId="0" applyNumberFormat="1" applyFont="1" applyFill="1" applyAlignment="1">
      <alignment horizontal="center"/>
    </xf>
    <xf numFmtId="0" fontId="6" fillId="0" borderId="0" xfId="0" applyFont="1" applyFill="1"/>
    <xf numFmtId="49" fontId="0" fillId="0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/>
    <xf numFmtId="49" fontId="0" fillId="0" borderId="0" xfId="0" applyNumberFormat="1" applyAlignment="1">
      <alignment horizontal="right"/>
    </xf>
    <xf numFmtId="49" fontId="6" fillId="3" borderId="0" xfId="0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6" borderId="0" xfId="0" applyNumberFormat="1" applyFont="1" applyFill="1" applyAlignment="1">
      <alignment horizontal="center"/>
    </xf>
    <xf numFmtId="2" fontId="0" fillId="7" borderId="0" xfId="0" applyNumberFormat="1" applyFont="1" applyFill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right"/>
    </xf>
    <xf numFmtId="49" fontId="0" fillId="0" borderId="7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8" fillId="0" borderId="0" xfId="1" applyAlignment="1">
      <alignment horizontal="left"/>
    </xf>
    <xf numFmtId="49" fontId="2" fillId="3" borderId="0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8" borderId="0" xfId="0" applyNumberFormat="1" applyFont="1" applyFill="1" applyBorder="1" applyAlignment="1">
      <alignment horizontal="center"/>
    </xf>
    <xf numFmtId="49" fontId="2" fillId="8" borderId="0" xfId="0" applyNumberFormat="1" applyFont="1" applyFill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2" fillId="4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caa.grunsports.com/goodies/fieldCalc.html" TargetMode="External"/><Relationship Id="rId1" Type="http://schemas.openxmlformats.org/officeDocument/2006/relationships/hyperlink" Target="https://milesplit.live/meets/6249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urldefense.com/v3/__https:/live.qwtiming.com/meets/26173__;!!May37g!IG2l6hpg2eNbeytkAJIrhP-xG2eZYNd11pyjcIo0GoxA86bgRc24asTMR4aNNQkrolDYGaaokJMipDgO4YhDk0Mh$" TargetMode="External"/><Relationship Id="rId1" Type="http://schemas.openxmlformats.org/officeDocument/2006/relationships/hyperlink" Target="https://urldefense.com/v3/__https:/va.milesplit.com/meets/561492-2023-pvtc-mid-atlantic-corporate-relays-2023/results__;!!May37g!IG2l6hpg2eNbeytkAJIrhP-xG2eZYNd11pyjcIo0GoxA86bgRc24asTMR4aNNQkrolDYGaaokJMipDgO4caG_2ak$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FB39-6A1B-4478-AA0B-173CA62208CD}">
  <sheetPr>
    <pageSetUpPr fitToPage="1"/>
  </sheetPr>
  <dimension ref="A1:AH21"/>
  <sheetViews>
    <sheetView tabSelected="1" topLeftCell="F1" zoomScaleNormal="100" workbookViewId="0">
      <selection activeCell="T15" sqref="T15"/>
    </sheetView>
  </sheetViews>
  <sheetFormatPr defaultRowHeight="15" x14ac:dyDescent="0.25"/>
  <cols>
    <col min="2" max="3" width="9.140625" style="2"/>
    <col min="4" max="4" width="10.140625" style="2" customWidth="1"/>
    <col min="5" max="5" width="9.42578125" style="2" customWidth="1"/>
    <col min="6" max="6" width="10" style="2" customWidth="1"/>
    <col min="7" max="7" width="9.7109375" style="2" customWidth="1"/>
    <col min="8" max="9" width="9.140625" style="2"/>
    <col min="10" max="10" width="9.85546875" style="2" customWidth="1"/>
    <col min="11" max="11" width="10" style="2" customWidth="1"/>
    <col min="12" max="14" width="9.140625" style="2"/>
    <col min="15" max="15" width="12" style="2" customWidth="1"/>
    <col min="16" max="19" width="9.140625" style="2"/>
    <col min="20" max="20" width="11.85546875" style="2" customWidth="1"/>
    <col min="21" max="21" width="11" style="2" customWidth="1"/>
    <col min="22" max="34" width="9.140625" style="2"/>
  </cols>
  <sheetData>
    <row r="1" spans="1:34" ht="18.75" x14ac:dyDescent="0.25">
      <c r="A1" s="1" t="s">
        <v>403</v>
      </c>
      <c r="Q1" s="1" t="s">
        <v>403</v>
      </c>
    </row>
    <row r="3" spans="1:34" x14ac:dyDescent="0.25">
      <c r="A3" s="26"/>
      <c r="B3" s="173" t="s">
        <v>404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25"/>
      <c r="O3" s="6"/>
      <c r="P3" s="8" t="s">
        <v>381</v>
      </c>
      <c r="Q3" s="26"/>
      <c r="R3" s="175" t="s">
        <v>405</v>
      </c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26"/>
      <c r="AG3" s="8" t="s">
        <v>383</v>
      </c>
      <c r="AH3" s="8" t="s">
        <v>382</v>
      </c>
    </row>
    <row r="4" spans="1:34" s="14" customFormat="1" x14ac:dyDescent="0.25">
      <c r="A4" s="26" t="s">
        <v>1</v>
      </c>
      <c r="B4" s="18" t="s">
        <v>12</v>
      </c>
      <c r="C4" s="12" t="s">
        <v>13</v>
      </c>
      <c r="D4" s="18" t="s">
        <v>47</v>
      </c>
      <c r="E4" s="4" t="s">
        <v>46</v>
      </c>
      <c r="F4" s="4" t="s">
        <v>45</v>
      </c>
      <c r="G4" s="4" t="s">
        <v>44</v>
      </c>
      <c r="H4" s="4" t="s">
        <v>520</v>
      </c>
      <c r="I4" s="4" t="s">
        <v>17</v>
      </c>
      <c r="J4" s="4" t="s">
        <v>43</v>
      </c>
      <c r="K4" s="4" t="s">
        <v>42</v>
      </c>
      <c r="L4" s="12" t="s">
        <v>447</v>
      </c>
      <c r="M4" s="8" t="s">
        <v>20</v>
      </c>
      <c r="N4" s="8" t="s">
        <v>23</v>
      </c>
      <c r="O4" s="8" t="s">
        <v>402</v>
      </c>
      <c r="P4" s="8" t="s">
        <v>40</v>
      </c>
      <c r="Q4" s="26" t="s">
        <v>1</v>
      </c>
      <c r="R4" s="18" t="s">
        <v>21</v>
      </c>
      <c r="S4" s="12" t="s">
        <v>22</v>
      </c>
      <c r="T4" s="18" t="s">
        <v>400</v>
      </c>
      <c r="U4" s="18" t="s">
        <v>401</v>
      </c>
      <c r="V4" s="4" t="s">
        <v>24</v>
      </c>
      <c r="W4" s="4" t="s">
        <v>25</v>
      </c>
      <c r="X4" s="4" t="s">
        <v>26</v>
      </c>
      <c r="Y4" s="4" t="s">
        <v>27</v>
      </c>
      <c r="Z4" s="4" t="s">
        <v>28</v>
      </c>
      <c r="AA4" s="4" t="s">
        <v>29</v>
      </c>
      <c r="AB4" s="4" t="s">
        <v>30</v>
      </c>
      <c r="AC4" s="4" t="s">
        <v>31</v>
      </c>
      <c r="AD4" s="4" t="s">
        <v>32</v>
      </c>
      <c r="AE4" s="8" t="s">
        <v>33</v>
      </c>
      <c r="AF4" s="26" t="s">
        <v>1</v>
      </c>
      <c r="AG4" s="8" t="s">
        <v>40</v>
      </c>
      <c r="AH4" s="8" t="s">
        <v>40</v>
      </c>
    </row>
    <row r="5" spans="1:34" s="23" customFormat="1" x14ac:dyDescent="0.25">
      <c r="A5" s="27"/>
      <c r="B5" s="20"/>
      <c r="C5" s="20"/>
      <c r="D5" s="20"/>
      <c r="E5" s="21"/>
      <c r="F5" s="21"/>
      <c r="G5" s="21"/>
      <c r="H5" s="21"/>
      <c r="I5" s="21"/>
      <c r="J5" s="21"/>
      <c r="K5" s="21"/>
      <c r="L5" s="20"/>
      <c r="M5" s="19"/>
      <c r="N5" s="19"/>
      <c r="O5" s="19"/>
      <c r="P5" s="19"/>
      <c r="Q5" s="27"/>
      <c r="R5" s="20"/>
      <c r="S5" s="20"/>
      <c r="T5" s="20"/>
      <c r="U5" s="20"/>
      <c r="V5" s="21"/>
      <c r="W5" s="21"/>
      <c r="X5" s="21"/>
      <c r="Y5" s="21"/>
      <c r="Z5" s="21"/>
      <c r="AA5" s="21"/>
      <c r="AB5" s="21"/>
      <c r="AC5" s="21"/>
      <c r="AD5" s="21"/>
      <c r="AE5" s="19"/>
      <c r="AF5" s="27"/>
      <c r="AG5" s="19"/>
      <c r="AH5" s="8"/>
    </row>
    <row r="6" spans="1:34" s="16" customFormat="1" x14ac:dyDescent="0.25">
      <c r="A6" s="28" t="s">
        <v>35</v>
      </c>
      <c r="B6" s="39">
        <v>1793</v>
      </c>
      <c r="C6" s="39">
        <v>1329</v>
      </c>
      <c r="D6" s="39"/>
      <c r="E6" s="39"/>
      <c r="F6" s="39"/>
      <c r="G6" s="39"/>
      <c r="H6" s="39">
        <v>148.46</v>
      </c>
      <c r="I6" s="39">
        <v>56.49</v>
      </c>
      <c r="J6" s="39"/>
      <c r="K6" s="36"/>
      <c r="L6" s="39">
        <v>140.34</v>
      </c>
      <c r="M6" s="39">
        <v>56.92</v>
      </c>
      <c r="N6" s="147">
        <v>3.1041666666666665E-3</v>
      </c>
      <c r="O6" s="156">
        <v>223.76</v>
      </c>
      <c r="P6" s="22"/>
      <c r="Q6" s="28" t="s">
        <v>35</v>
      </c>
      <c r="R6" s="17">
        <v>1500</v>
      </c>
      <c r="S6" s="17">
        <v>1578</v>
      </c>
      <c r="T6" s="19">
        <f>C6+R6</f>
        <v>2829</v>
      </c>
      <c r="U6" s="19">
        <f>B6+S6</f>
        <v>3371</v>
      </c>
      <c r="V6" s="36"/>
      <c r="W6" s="170" t="s">
        <v>538</v>
      </c>
      <c r="X6" s="171"/>
      <c r="Y6" s="170" t="s">
        <v>536</v>
      </c>
      <c r="Z6" s="170" t="s">
        <v>542</v>
      </c>
      <c r="AA6" s="170" t="s">
        <v>534</v>
      </c>
      <c r="AB6" s="36"/>
      <c r="AC6" s="36"/>
      <c r="AD6" s="163" t="s">
        <v>543</v>
      </c>
      <c r="AE6" s="36"/>
      <c r="AF6" s="28" t="s">
        <v>35</v>
      </c>
      <c r="AG6" s="22"/>
      <c r="AH6" s="10"/>
    </row>
    <row r="7" spans="1:34" s="16" customFormat="1" x14ac:dyDescent="0.25">
      <c r="A7" s="38" t="s">
        <v>50</v>
      </c>
      <c r="B7" s="17">
        <v>1</v>
      </c>
      <c r="C7" s="17">
        <v>1</v>
      </c>
      <c r="D7" s="17">
        <v>1</v>
      </c>
      <c r="E7" s="17">
        <v>1</v>
      </c>
      <c r="F7" s="17">
        <v>3</v>
      </c>
      <c r="G7" s="17">
        <v>1</v>
      </c>
      <c r="H7" s="17">
        <v>1</v>
      </c>
      <c r="I7" s="17">
        <v>2</v>
      </c>
      <c r="J7" s="17" t="s">
        <v>346</v>
      </c>
      <c r="K7" s="36"/>
      <c r="L7" s="17">
        <v>1</v>
      </c>
      <c r="M7" s="17">
        <v>1</v>
      </c>
      <c r="N7" s="17">
        <v>1</v>
      </c>
      <c r="O7" s="17">
        <v>2</v>
      </c>
      <c r="P7" s="22"/>
      <c r="Q7" s="38" t="s">
        <v>50</v>
      </c>
      <c r="R7" s="17">
        <v>1</v>
      </c>
      <c r="S7" s="17">
        <v>1</v>
      </c>
      <c r="T7" s="17">
        <v>1</v>
      </c>
      <c r="U7" s="17">
        <v>1</v>
      </c>
      <c r="V7" s="36"/>
      <c r="W7" s="37">
        <v>1</v>
      </c>
      <c r="X7" s="36"/>
      <c r="Y7" s="37">
        <v>1</v>
      </c>
      <c r="Z7" s="37">
        <v>1</v>
      </c>
      <c r="AA7" s="37">
        <v>1</v>
      </c>
      <c r="AB7" s="36"/>
      <c r="AC7" s="36"/>
      <c r="AD7" s="37">
        <v>1</v>
      </c>
      <c r="AE7" s="36"/>
      <c r="AF7" s="28"/>
      <c r="AG7" s="22"/>
      <c r="AH7" s="10"/>
    </row>
    <row r="8" spans="1:34" x14ac:dyDescent="0.25">
      <c r="A8" s="29" t="s">
        <v>36</v>
      </c>
      <c r="B8" s="24">
        <f>IF(B7=1,40,IF(B7=2,34,IF(B7=3,31,IF(B7=4,28,""))))</f>
        <v>40</v>
      </c>
      <c r="C8" s="24">
        <f>IF(C7=1,40,IF(C7=2,34,IF(C7=3,31,IF(C7=4,28,""))))</f>
        <v>40</v>
      </c>
      <c r="D8" s="24">
        <v>10</v>
      </c>
      <c r="E8" s="24">
        <v>10</v>
      </c>
      <c r="F8" s="24">
        <v>7</v>
      </c>
      <c r="G8" s="24">
        <v>10</v>
      </c>
      <c r="H8" s="24">
        <f t="shared" ref="H8:I8" si="0">IF(H7=1,40,IF(H7=2,34,IF(H7=3,31,IF(H7=4,28,""))))</f>
        <v>40</v>
      </c>
      <c r="I8" s="24">
        <f t="shared" si="0"/>
        <v>34</v>
      </c>
      <c r="J8" s="24">
        <v>18</v>
      </c>
      <c r="K8" s="36">
        <v>0</v>
      </c>
      <c r="L8" s="24">
        <f>IF(L7=1,40,IF(L7=2,34,IF(L7=3,31,IF(L7=4,28,""))))</f>
        <v>40</v>
      </c>
      <c r="M8" s="24">
        <f>IF(M7=1,40,IF(M7=2,34,IF(M7=3,31,IF(M7=4,28,""))))</f>
        <v>40</v>
      </c>
      <c r="N8" s="24">
        <f>IF(N7=1,40,IF(N7=2,34,IF(N7=3,31,IF(N7=4,28,""))))</f>
        <v>40</v>
      </c>
      <c r="O8" s="24">
        <f>IF(O7=1,40,IF(O7=2,34,IF(O7=3,31,IF(O7=4,28,""))))</f>
        <v>34</v>
      </c>
      <c r="P8" s="22">
        <f>SUM(B8:O8)</f>
        <v>363</v>
      </c>
      <c r="Q8" s="29" t="s">
        <v>36</v>
      </c>
      <c r="R8" s="24">
        <f t="shared" ref="R8" si="1">IF(R7=1,40,IF(R7=2,34,IF(R7=3,31,IF(R7=4,28,""))))</f>
        <v>40</v>
      </c>
      <c r="S8" s="24">
        <f t="shared" ref="S8:U8" si="2">IF(S7=1,40,IF(S7=2,34,IF(S7=3,31,IF(S7=4,28,""))))</f>
        <v>40</v>
      </c>
      <c r="T8" s="24">
        <f t="shared" si="2"/>
        <v>40</v>
      </c>
      <c r="U8" s="24">
        <f t="shared" si="2"/>
        <v>40</v>
      </c>
      <c r="V8" s="24" t="str">
        <f t="shared" ref="V8" si="3">IF(V7=1,40,IF(V7=2,34,IF(V7=3,31,IF(V7=4,28,""))))</f>
        <v/>
      </c>
      <c r="W8" s="24">
        <f t="shared" ref="W8" si="4">IF(W7=1,40,IF(W7=2,34,IF(W7=3,31,IF(W7=4,28,""))))</f>
        <v>40</v>
      </c>
      <c r="X8" s="24" t="str">
        <f t="shared" ref="X8" si="5">IF(X7=1,40,IF(X7=2,34,IF(X7=3,31,IF(X7=4,28,""))))</f>
        <v/>
      </c>
      <c r="Y8" s="24">
        <f t="shared" ref="Y8" si="6">IF(Y7=1,40,IF(Y7=2,34,IF(Y7=3,31,IF(Y7=4,28,""))))</f>
        <v>40</v>
      </c>
      <c r="Z8" s="24">
        <f t="shared" ref="Z8" si="7">IF(Z7=1,40,IF(Z7=2,34,IF(Z7=3,31,IF(Z7=4,28,""))))</f>
        <v>40</v>
      </c>
      <c r="AA8" s="24">
        <f t="shared" ref="AA8" si="8">IF(AA7=1,40,IF(AA7=2,34,IF(AA7=3,31,IF(AA7=4,28,""))))</f>
        <v>40</v>
      </c>
      <c r="AB8" s="24" t="str">
        <f t="shared" ref="AB8" si="9">IF(AB7=1,40,IF(AB7=2,34,IF(AB7=3,31,IF(AB7=4,28,""))))</f>
        <v/>
      </c>
      <c r="AC8" s="24" t="str">
        <f t="shared" ref="AC8" si="10">IF(AC7=1,40,IF(AC7=2,34,IF(AC7=3,31,IF(AC7=4,28,""))))</f>
        <v/>
      </c>
      <c r="AD8" s="24">
        <f t="shared" ref="AD8" si="11">IF(AD7=1,40,IF(AD7=2,34,IF(AD7=3,31,IF(AD7=4,28,""))))</f>
        <v>40</v>
      </c>
      <c r="AE8" s="24" t="str">
        <f t="shared" ref="AE8" si="12">IF(AE7=1,40,IF(AE7=2,34,IF(AE7=3,31,IF(AE7=4,28,""))))</f>
        <v/>
      </c>
      <c r="AF8" s="32" t="s">
        <v>36</v>
      </c>
      <c r="AG8" s="22">
        <f>SUM(R8:AE8)</f>
        <v>360</v>
      </c>
      <c r="AH8" s="10">
        <f>SUM(B8:O8)+SUM(R8:AE8)</f>
        <v>723</v>
      </c>
    </row>
    <row r="9" spans="1:34" s="23" customFormat="1" x14ac:dyDescent="0.25">
      <c r="A9" s="30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30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33"/>
      <c r="AG9" s="116"/>
      <c r="AH9" s="117"/>
    </row>
    <row r="10" spans="1:34" s="16" customFormat="1" x14ac:dyDescent="0.25">
      <c r="A10" s="28" t="s">
        <v>37</v>
      </c>
      <c r="B10" s="39">
        <v>619</v>
      </c>
      <c r="C10" s="39">
        <v>507</v>
      </c>
      <c r="D10" s="39"/>
      <c r="E10" s="39"/>
      <c r="F10" s="39"/>
      <c r="G10" s="166"/>
      <c r="H10" s="39">
        <v>136.19999999999999</v>
      </c>
      <c r="I10" s="39">
        <v>62.27</v>
      </c>
      <c r="J10" s="39"/>
      <c r="K10" s="39"/>
      <c r="L10" s="39">
        <v>72.66</v>
      </c>
      <c r="M10" s="39">
        <v>65.209999999999994</v>
      </c>
      <c r="N10" s="147">
        <v>4.0034722222222216E-3</v>
      </c>
      <c r="O10" s="156">
        <v>225.3</v>
      </c>
      <c r="P10" s="22"/>
      <c r="Q10" s="28" t="s">
        <v>37</v>
      </c>
      <c r="R10" s="17">
        <v>623</v>
      </c>
      <c r="S10" s="17">
        <v>1275</v>
      </c>
      <c r="T10" s="19">
        <f>C10+R10</f>
        <v>1130</v>
      </c>
      <c r="U10" s="19">
        <f>B10+S10</f>
        <v>1894</v>
      </c>
      <c r="V10" s="36"/>
      <c r="W10" s="127" t="s">
        <v>539</v>
      </c>
      <c r="X10" s="127" t="s">
        <v>540</v>
      </c>
      <c r="Y10" s="36"/>
      <c r="Z10" s="127" t="s">
        <v>541</v>
      </c>
      <c r="AA10" s="127" t="s">
        <v>535</v>
      </c>
      <c r="AB10" s="36"/>
      <c r="AC10" s="36"/>
      <c r="AD10" s="36"/>
      <c r="AE10" s="5" t="s">
        <v>544</v>
      </c>
      <c r="AF10" s="34" t="s">
        <v>37</v>
      </c>
      <c r="AG10" s="22"/>
      <c r="AH10" s="10"/>
    </row>
    <row r="11" spans="1:34" s="16" customFormat="1" x14ac:dyDescent="0.25">
      <c r="A11" s="38" t="s">
        <v>50</v>
      </c>
      <c r="B11" s="17">
        <v>2</v>
      </c>
      <c r="C11" s="17">
        <v>2</v>
      </c>
      <c r="D11" s="17" t="s">
        <v>503</v>
      </c>
      <c r="E11" s="17" t="s">
        <v>361</v>
      </c>
      <c r="F11" s="17" t="s">
        <v>346</v>
      </c>
      <c r="G11" s="167">
        <v>2</v>
      </c>
      <c r="H11" s="17">
        <v>2</v>
      </c>
      <c r="I11" s="17">
        <v>1</v>
      </c>
      <c r="J11" s="17" t="s">
        <v>515</v>
      </c>
      <c r="K11" s="17" t="s">
        <v>519</v>
      </c>
      <c r="L11" s="17">
        <v>2</v>
      </c>
      <c r="M11" s="17">
        <v>2</v>
      </c>
      <c r="N11" s="17">
        <v>2</v>
      </c>
      <c r="O11" s="17">
        <v>1</v>
      </c>
      <c r="P11" s="22"/>
      <c r="Q11" s="38" t="s">
        <v>50</v>
      </c>
      <c r="R11" s="17">
        <v>2</v>
      </c>
      <c r="S11" s="17">
        <v>2</v>
      </c>
      <c r="T11" s="17">
        <v>2</v>
      </c>
      <c r="U11" s="17">
        <v>2</v>
      </c>
      <c r="V11" s="36"/>
      <c r="W11" s="107">
        <v>2</v>
      </c>
      <c r="X11" s="107">
        <v>1</v>
      </c>
      <c r="Y11" s="36"/>
      <c r="Z11" s="107">
        <v>2</v>
      </c>
      <c r="AA11" s="107">
        <v>2</v>
      </c>
      <c r="AB11" s="36"/>
      <c r="AC11" s="36"/>
      <c r="AD11" s="36"/>
      <c r="AE11" s="2">
        <v>1</v>
      </c>
      <c r="AF11" s="34"/>
      <c r="AG11" s="22"/>
      <c r="AH11" s="10"/>
    </row>
    <row r="12" spans="1:34" x14ac:dyDescent="0.25">
      <c r="A12" s="29" t="s">
        <v>36</v>
      </c>
      <c r="B12" s="24">
        <f>IF(B11=1,40,IF(B11=2,34,IF(B11=3,31,IF(B11=4,28,""))))</f>
        <v>34</v>
      </c>
      <c r="C12" s="24">
        <f>IF(C11=1,40,IF(C11=2,34,IF(C11=3,31,IF(C11=4,28,""))))</f>
        <v>34</v>
      </c>
      <c r="D12" s="24">
        <v>15</v>
      </c>
      <c r="E12" s="24">
        <v>21</v>
      </c>
      <c r="F12" s="24">
        <v>18</v>
      </c>
      <c r="G12" s="36">
        <v>0</v>
      </c>
      <c r="H12" s="24">
        <f>IF(H11=1,40,IF(H11=2,34,IF(H11=3,31,IF(H11=4,28,""))))</f>
        <v>34</v>
      </c>
      <c r="I12" s="24">
        <f>IF(I11=1,40,IF(I11=2,34,IF(I11=3,31,IF(I11=4,28,""))))</f>
        <v>40</v>
      </c>
      <c r="J12" s="24">
        <v>13</v>
      </c>
      <c r="K12" s="24">
        <v>25</v>
      </c>
      <c r="L12" s="24">
        <f>IF(L11=1,40,IF(L11=2,34,IF(L11=3,31,IF(L11=4,28,""))))</f>
        <v>34</v>
      </c>
      <c r="M12" s="24">
        <f>IF(M11=1,40,IF(M11=2,34,IF(M11=3,31,IF(M11=4,28,""))))</f>
        <v>34</v>
      </c>
      <c r="N12" s="24">
        <f>IF(N11=1,40,IF(N11=2,34,IF(N11=3,31,IF(N11=4,28,""))))</f>
        <v>34</v>
      </c>
      <c r="O12" s="24">
        <f>IF(O11=1,40,IF(O11=2,34,IF(O11=3,31,IF(O11=4,28,""))))</f>
        <v>40</v>
      </c>
      <c r="P12" s="22">
        <f>SUM(B12:O12)</f>
        <v>376</v>
      </c>
      <c r="Q12" s="29" t="s">
        <v>36</v>
      </c>
      <c r="R12" s="24">
        <f t="shared" ref="R12" si="13">IF(R11=1,40,IF(R11=2,34,IF(R11=3,31,IF(R11=4,28,""))))</f>
        <v>34</v>
      </c>
      <c r="S12" s="24">
        <f t="shared" ref="S12:AD12" si="14">IF(S11=1,40,IF(S11=2,34,IF(S11=3,31,IF(S11=4,28,""))))</f>
        <v>34</v>
      </c>
      <c r="T12" s="24">
        <f t="shared" si="14"/>
        <v>34</v>
      </c>
      <c r="U12" s="24">
        <f t="shared" si="14"/>
        <v>34</v>
      </c>
      <c r="V12" s="24" t="str">
        <f t="shared" si="14"/>
        <v/>
      </c>
      <c r="W12" s="24">
        <f t="shared" si="14"/>
        <v>34</v>
      </c>
      <c r="X12" s="24">
        <f t="shared" si="14"/>
        <v>40</v>
      </c>
      <c r="Y12" s="24" t="str">
        <f t="shared" si="14"/>
        <v/>
      </c>
      <c r="Z12" s="24">
        <f t="shared" si="14"/>
        <v>34</v>
      </c>
      <c r="AA12" s="24">
        <f t="shared" si="14"/>
        <v>34</v>
      </c>
      <c r="AB12" s="24" t="str">
        <f t="shared" si="14"/>
        <v/>
      </c>
      <c r="AC12" s="24" t="str">
        <f t="shared" si="14"/>
        <v/>
      </c>
      <c r="AD12" s="24" t="str">
        <f t="shared" si="14"/>
        <v/>
      </c>
      <c r="AE12" s="24">
        <f t="shared" ref="AE12" si="15">IF(AE11=1,40,IF(AE11=2,34,IF(AE11=3,31,IF(AE11=4,28,""))))</f>
        <v>40</v>
      </c>
      <c r="AF12" s="32" t="s">
        <v>36</v>
      </c>
      <c r="AG12" s="22">
        <f>SUM(R12:AE12)</f>
        <v>318</v>
      </c>
      <c r="AH12" s="10">
        <f>SUM(B12:O12)+SUM(R12:AE12)</f>
        <v>694</v>
      </c>
    </row>
    <row r="13" spans="1:34" s="23" customFormat="1" x14ac:dyDescent="0.25">
      <c r="A13" s="30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30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33"/>
      <c r="AG13" s="116"/>
      <c r="AH13" s="117"/>
    </row>
    <row r="14" spans="1:34" s="128" customFormat="1" x14ac:dyDescent="0.25">
      <c r="A14" s="168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69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169"/>
      <c r="AG14" s="126"/>
      <c r="AH14" s="37"/>
    </row>
    <row r="15" spans="1:34" x14ac:dyDescent="0.25">
      <c r="A15" t="s">
        <v>348</v>
      </c>
    </row>
    <row r="16" spans="1:34" x14ac:dyDescent="0.25">
      <c r="A16" t="s">
        <v>391</v>
      </c>
    </row>
    <row r="17" spans="1:12" x14ac:dyDescent="0.25">
      <c r="A17" s="35" t="s">
        <v>545</v>
      </c>
      <c r="B17" s="36"/>
      <c r="C17" s="36"/>
      <c r="D17" s="37"/>
    </row>
    <row r="19" spans="1:12" x14ac:dyDescent="0.25">
      <c r="A19" t="s">
        <v>546</v>
      </c>
      <c r="B19" s="172" t="s">
        <v>547</v>
      </c>
      <c r="C19" s="119"/>
    </row>
    <row r="20" spans="1:12" x14ac:dyDescent="0.25">
      <c r="A20" t="s">
        <v>548</v>
      </c>
      <c r="B20" s="3"/>
      <c r="C20" s="119" t="s">
        <v>550</v>
      </c>
      <c r="L20" s="15"/>
    </row>
    <row r="21" spans="1:12" x14ac:dyDescent="0.25">
      <c r="A21" t="s">
        <v>549</v>
      </c>
      <c r="C21" s="172" t="s">
        <v>551</v>
      </c>
    </row>
  </sheetData>
  <mergeCells count="2">
    <mergeCell ref="B3:M3"/>
    <mergeCell ref="R3:AE3"/>
  </mergeCells>
  <hyperlinks>
    <hyperlink ref="B19" r:id="rId1" xr:uid="{84937AC9-D748-4142-9349-58E4E32BD18B}"/>
    <hyperlink ref="C21" r:id="rId2" xr:uid="{E68919A8-8CE2-4B02-9B19-4B6E406DC7FE}"/>
  </hyperlinks>
  <pageMargins left="0.25" right="0.25" top="0.75" bottom="0.75" header="0.3" footer="0.3"/>
  <pageSetup scale="79" orientation="landscape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7F72B-1A4C-4762-997F-F5D34D00E0A9}">
  <sheetPr>
    <pageSetUpPr fitToPage="1"/>
  </sheetPr>
  <dimension ref="A1:AH59"/>
  <sheetViews>
    <sheetView workbookViewId="0">
      <pane xSplit="5" ySplit="3" topLeftCell="M21" activePane="bottomRight" state="frozen"/>
      <selection pane="topRight" activeCell="F1" sqref="F1"/>
      <selection pane="bottomLeft" activeCell="A4" sqref="A4"/>
      <selection pane="bottomRight" activeCell="S66" sqref="S66"/>
    </sheetView>
  </sheetViews>
  <sheetFormatPr defaultRowHeight="15" x14ac:dyDescent="0.25"/>
  <cols>
    <col min="1" max="1" width="9.140625" style="2"/>
    <col min="2" max="2" width="12.140625" style="3" customWidth="1"/>
    <col min="3" max="3" width="14.28515625" bestFit="1" customWidth="1"/>
    <col min="4" max="4" width="12" style="2" customWidth="1"/>
    <col min="5" max="5" width="5.7109375" style="5" customWidth="1"/>
    <col min="6" max="7" width="4.7109375" style="5" customWidth="1"/>
    <col min="8" max="8" width="7.140625" style="5" customWidth="1"/>
    <col min="9" max="9" width="7.5703125" style="5" customWidth="1"/>
    <col min="10" max="11" width="9.140625" style="5"/>
    <col min="12" max="13" width="11.7109375" style="5" customWidth="1"/>
    <col min="14" max="18" width="9.140625" style="5"/>
    <col min="20" max="20" width="11.5703125" bestFit="1" customWidth="1"/>
    <col min="21" max="21" width="12.140625" style="3" customWidth="1"/>
    <col min="22" max="22" width="14.28515625" bestFit="1" customWidth="1"/>
    <col min="23" max="23" width="7.28515625" style="5" customWidth="1"/>
    <col min="24" max="24" width="7.42578125" style="5" customWidth="1"/>
    <col min="25" max="25" width="9.42578125" style="5" customWidth="1"/>
    <col min="26" max="30" width="9.140625" style="5"/>
    <col min="31" max="31" width="9.5703125" style="5" customWidth="1"/>
    <col min="32" max="32" width="9.140625" style="5"/>
    <col min="33" max="33" width="9.7109375" style="5" customWidth="1"/>
    <col min="34" max="34" width="9.85546875" customWidth="1"/>
  </cols>
  <sheetData>
    <row r="1" spans="1:34" s="44" customFormat="1" ht="18.75" x14ac:dyDescent="0.3">
      <c r="A1" s="96" t="s">
        <v>0</v>
      </c>
      <c r="B1" s="97"/>
      <c r="C1" s="98"/>
      <c r="D1" s="42"/>
      <c r="E1" s="43"/>
      <c r="F1" s="43"/>
      <c r="G1" s="43"/>
      <c r="H1" s="5" t="s">
        <v>52</v>
      </c>
      <c r="I1" s="5" t="s">
        <v>52</v>
      </c>
      <c r="J1" s="5"/>
      <c r="K1" s="5"/>
      <c r="L1" s="5"/>
      <c r="M1" s="5"/>
      <c r="N1" s="5"/>
      <c r="O1" s="5"/>
      <c r="P1" s="5"/>
      <c r="Q1" s="5"/>
      <c r="R1" s="5"/>
      <c r="S1" s="5" t="s">
        <v>53</v>
      </c>
      <c r="T1" s="5" t="s">
        <v>55</v>
      </c>
      <c r="U1" s="5"/>
      <c r="V1" s="5"/>
      <c r="W1" s="5" t="s">
        <v>54</v>
      </c>
      <c r="X1" s="5" t="s">
        <v>54</v>
      </c>
      <c r="Y1" s="5" t="s">
        <v>56</v>
      </c>
      <c r="Z1" s="5" t="s">
        <v>57</v>
      </c>
      <c r="AA1" s="5" t="s">
        <v>58</v>
      </c>
      <c r="AB1" s="5" t="s">
        <v>59</v>
      </c>
      <c r="AC1" s="5" t="s">
        <v>60</v>
      </c>
      <c r="AD1" s="5" t="s">
        <v>61</v>
      </c>
      <c r="AE1" s="5" t="s">
        <v>62</v>
      </c>
      <c r="AF1" s="5" t="s">
        <v>63</v>
      </c>
      <c r="AG1" s="5" t="s">
        <v>64</v>
      </c>
      <c r="AH1" s="5" t="s">
        <v>65</v>
      </c>
    </row>
    <row r="2" spans="1:34" x14ac:dyDescent="0.25">
      <c r="E2" s="4" t="s">
        <v>2</v>
      </c>
      <c r="H2" s="177" t="s">
        <v>3</v>
      </c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20"/>
      <c r="U2" s="7"/>
      <c r="W2" s="178" t="s">
        <v>4</v>
      </c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</row>
    <row r="3" spans="1:34" s="14" customFormat="1" x14ac:dyDescent="0.25">
      <c r="A3" s="8" t="s">
        <v>5</v>
      </c>
      <c r="B3" s="9" t="s">
        <v>6</v>
      </c>
      <c r="C3" s="10" t="s">
        <v>7</v>
      </c>
      <c r="D3" s="8" t="s">
        <v>8</v>
      </c>
      <c r="E3" s="4" t="s">
        <v>9</v>
      </c>
      <c r="F3" s="4" t="s">
        <v>10</v>
      </c>
      <c r="G3" s="4" t="s">
        <v>11</v>
      </c>
      <c r="H3" s="11" t="s">
        <v>12</v>
      </c>
      <c r="I3" s="12" t="s">
        <v>13</v>
      </c>
      <c r="J3" s="4" t="s">
        <v>406</v>
      </c>
      <c r="K3" s="4" t="s">
        <v>407</v>
      </c>
      <c r="L3" s="4" t="s">
        <v>408</v>
      </c>
      <c r="M3" s="4" t="s">
        <v>409</v>
      </c>
      <c r="N3" s="4" t="s">
        <v>446</v>
      </c>
      <c r="O3" s="4" t="s">
        <v>17</v>
      </c>
      <c r="P3" s="4" t="s">
        <v>410</v>
      </c>
      <c r="Q3" s="4" t="s">
        <v>411</v>
      </c>
      <c r="R3" s="12" t="s">
        <v>447</v>
      </c>
      <c r="S3" s="8" t="s">
        <v>20</v>
      </c>
      <c r="T3" s="4" t="s">
        <v>23</v>
      </c>
      <c r="U3" s="13" t="s">
        <v>6</v>
      </c>
      <c r="V3" s="10" t="s">
        <v>7</v>
      </c>
      <c r="W3" s="11" t="s">
        <v>21</v>
      </c>
      <c r="X3" s="12" t="s">
        <v>22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10" t="s">
        <v>33</v>
      </c>
    </row>
    <row r="4" spans="1:34" ht="30" x14ac:dyDescent="0.25">
      <c r="A4" s="2" t="s">
        <v>66</v>
      </c>
      <c r="B4" s="3" t="s">
        <v>423</v>
      </c>
      <c r="C4" t="s">
        <v>424</v>
      </c>
      <c r="D4" s="45"/>
      <c r="E4" s="5" t="s">
        <v>425</v>
      </c>
      <c r="H4" s="46"/>
      <c r="I4" s="47"/>
      <c r="J4" s="127"/>
      <c r="K4" s="127"/>
      <c r="L4" s="127"/>
      <c r="M4" s="127"/>
      <c r="N4" s="127"/>
      <c r="O4" s="127"/>
      <c r="P4" s="127"/>
      <c r="Q4" s="127"/>
      <c r="R4" s="127"/>
      <c r="S4" s="128"/>
      <c r="T4" s="128"/>
      <c r="U4" s="3" t="s">
        <v>423</v>
      </c>
      <c r="V4" t="s">
        <v>424</v>
      </c>
      <c r="W4" s="46"/>
      <c r="X4" s="75" t="s">
        <v>524</v>
      </c>
    </row>
    <row r="5" spans="1:34" ht="45.75" x14ac:dyDescent="0.3">
      <c r="A5" s="2" t="s">
        <v>66</v>
      </c>
      <c r="B5" s="3" t="s">
        <v>70</v>
      </c>
      <c r="C5" t="s">
        <v>71</v>
      </c>
      <c r="D5" s="45"/>
      <c r="E5" s="5" t="s">
        <v>275</v>
      </c>
      <c r="F5" s="49"/>
      <c r="G5" s="49"/>
      <c r="H5" s="46"/>
      <c r="I5" s="47"/>
      <c r="J5" s="127"/>
      <c r="K5" s="127"/>
      <c r="L5" s="50" t="s">
        <v>453</v>
      </c>
      <c r="M5" s="127"/>
      <c r="N5" s="127"/>
      <c r="O5" s="127"/>
      <c r="P5" s="50" t="s">
        <v>452</v>
      </c>
      <c r="Q5" s="121"/>
      <c r="R5" s="127"/>
      <c r="S5" s="128"/>
      <c r="T5" s="128"/>
      <c r="U5" s="3" t="s">
        <v>70</v>
      </c>
      <c r="V5" t="s">
        <v>71</v>
      </c>
      <c r="W5" s="76" t="s">
        <v>525</v>
      </c>
      <c r="X5" s="133"/>
    </row>
    <row r="6" spans="1:34" ht="45.75" x14ac:dyDescent="0.3">
      <c r="A6" s="2" t="s">
        <v>66</v>
      </c>
      <c r="B6" s="3" t="s">
        <v>48</v>
      </c>
      <c r="C6" t="s">
        <v>49</v>
      </c>
      <c r="D6" s="45"/>
      <c r="E6" s="5" t="s">
        <v>146</v>
      </c>
      <c r="F6" s="49"/>
      <c r="G6" s="49"/>
      <c r="H6" s="46"/>
      <c r="I6" s="47"/>
      <c r="J6" s="127"/>
      <c r="K6" s="127"/>
      <c r="L6" s="50" t="s">
        <v>454</v>
      </c>
      <c r="M6" s="127"/>
      <c r="N6" s="127"/>
      <c r="O6" s="127"/>
      <c r="P6" s="121"/>
      <c r="Q6" s="121"/>
      <c r="R6" s="127"/>
      <c r="S6" s="128"/>
      <c r="T6" s="128"/>
      <c r="U6" s="3" t="s">
        <v>48</v>
      </c>
      <c r="V6" t="s">
        <v>49</v>
      </c>
      <c r="W6" s="131"/>
      <c r="X6" s="133"/>
    </row>
    <row r="7" spans="1:34" ht="45" x14ac:dyDescent="0.25">
      <c r="A7" s="2" t="s">
        <v>66</v>
      </c>
      <c r="B7" s="3" t="s">
        <v>426</v>
      </c>
      <c r="C7" t="s">
        <v>427</v>
      </c>
      <c r="E7" s="5" t="s">
        <v>425</v>
      </c>
      <c r="H7" s="46"/>
      <c r="I7" s="74" t="s">
        <v>485</v>
      </c>
      <c r="J7" s="50" t="s">
        <v>451</v>
      </c>
      <c r="P7" s="50" t="s">
        <v>450</v>
      </c>
      <c r="U7" s="3" t="s">
        <v>426</v>
      </c>
      <c r="V7" t="s">
        <v>427</v>
      </c>
      <c r="W7" s="46"/>
      <c r="X7" s="47"/>
    </row>
    <row r="8" spans="1:34" ht="45.75" x14ac:dyDescent="0.3">
      <c r="A8" s="2" t="s">
        <v>66</v>
      </c>
      <c r="B8" s="3" t="s">
        <v>428</v>
      </c>
      <c r="C8" t="s">
        <v>429</v>
      </c>
      <c r="D8" s="45"/>
      <c r="E8" s="5" t="s">
        <v>218</v>
      </c>
      <c r="F8" s="52"/>
      <c r="G8" s="49"/>
      <c r="H8" s="76" t="s">
        <v>487</v>
      </c>
      <c r="I8" s="47"/>
      <c r="J8" s="50" t="s">
        <v>455</v>
      </c>
      <c r="K8" s="127"/>
      <c r="L8" s="127"/>
      <c r="M8" s="127"/>
      <c r="N8" s="127"/>
      <c r="O8" s="127"/>
      <c r="P8" s="127"/>
      <c r="Q8" s="127"/>
      <c r="R8" s="127"/>
      <c r="S8" s="128"/>
      <c r="T8" s="128"/>
      <c r="U8" s="3" t="s">
        <v>428</v>
      </c>
      <c r="V8" t="s">
        <v>429</v>
      </c>
      <c r="W8" s="131"/>
      <c r="X8" s="133"/>
    </row>
    <row r="9" spans="1:34" ht="16.5" x14ac:dyDescent="0.3">
      <c r="A9" s="2" t="s">
        <v>66</v>
      </c>
      <c r="B9" s="3" t="s">
        <v>430</v>
      </c>
      <c r="C9" t="s">
        <v>431</v>
      </c>
      <c r="D9" s="45"/>
      <c r="E9" s="5" t="s">
        <v>270</v>
      </c>
      <c r="F9" s="52"/>
      <c r="G9" s="49"/>
      <c r="H9" s="46"/>
      <c r="I9" s="47"/>
      <c r="J9" s="127"/>
      <c r="K9" s="127"/>
      <c r="L9" s="127"/>
      <c r="M9" s="127"/>
      <c r="N9" s="127"/>
      <c r="O9" s="127"/>
      <c r="P9" s="127"/>
      <c r="Q9" s="127"/>
      <c r="R9" s="127"/>
      <c r="S9" s="128"/>
      <c r="T9" s="128"/>
      <c r="U9" s="3" t="s">
        <v>430</v>
      </c>
      <c r="V9" t="s">
        <v>431</v>
      </c>
      <c r="W9" s="131"/>
      <c r="X9" s="133"/>
    </row>
    <row r="10" spans="1:34" s="55" customFormat="1" ht="45" x14ac:dyDescent="0.25">
      <c r="A10" s="53" t="s">
        <v>66</v>
      </c>
      <c r="B10" s="54" t="s">
        <v>432</v>
      </c>
      <c r="C10" s="55" t="s">
        <v>433</v>
      </c>
      <c r="D10" s="45"/>
      <c r="E10" s="56" t="s">
        <v>434</v>
      </c>
      <c r="F10" s="56"/>
      <c r="G10" s="56"/>
      <c r="H10" s="57"/>
      <c r="I10" s="58"/>
      <c r="J10" s="129"/>
      <c r="K10" s="129"/>
      <c r="L10" s="129"/>
      <c r="M10" s="129"/>
      <c r="N10" s="143" t="s">
        <v>456</v>
      </c>
      <c r="O10" s="129"/>
      <c r="P10" s="129"/>
      <c r="Q10" s="129"/>
      <c r="R10" s="129"/>
      <c r="S10" s="130"/>
      <c r="T10" s="130"/>
      <c r="U10" s="54" t="s">
        <v>432</v>
      </c>
      <c r="V10" s="55" t="s">
        <v>433</v>
      </c>
      <c r="W10" s="135"/>
      <c r="X10" s="13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4" x14ac:dyDescent="0.25">
      <c r="A11" s="24"/>
      <c r="B11" s="69"/>
      <c r="C11" s="23"/>
      <c r="D11" s="24"/>
      <c r="E11" s="70"/>
      <c r="F11" s="70"/>
      <c r="G11" s="70"/>
      <c r="H11" s="71"/>
      <c r="I11" s="72"/>
      <c r="J11" s="70"/>
      <c r="K11" s="70"/>
      <c r="L11" s="70"/>
      <c r="M11" s="70"/>
      <c r="N11" s="70"/>
      <c r="O11" s="70"/>
      <c r="P11" s="70"/>
      <c r="Q11" s="70"/>
      <c r="R11" s="70"/>
      <c r="S11" s="23"/>
      <c r="T11" s="23"/>
      <c r="U11" s="73"/>
      <c r="V11" s="23"/>
      <c r="W11" s="71"/>
      <c r="X11" s="72"/>
      <c r="Y11" s="70"/>
      <c r="Z11" s="70"/>
      <c r="AA11" s="70"/>
      <c r="AB11" s="70"/>
      <c r="AC11" s="70"/>
      <c r="AD11" s="70"/>
      <c r="AE11" s="70"/>
      <c r="AF11" s="70"/>
      <c r="AG11" s="70"/>
      <c r="AH11" s="23"/>
    </row>
    <row r="12" spans="1:34" ht="45.75" x14ac:dyDescent="0.3">
      <c r="A12" s="2" t="s">
        <v>95</v>
      </c>
      <c r="B12" s="3" t="s">
        <v>132</v>
      </c>
      <c r="C12" t="s">
        <v>133</v>
      </c>
      <c r="D12" s="45"/>
      <c r="E12" s="5" t="s">
        <v>240</v>
      </c>
      <c r="F12" s="49"/>
      <c r="G12" s="49"/>
      <c r="H12" s="46"/>
      <c r="I12" s="47"/>
      <c r="J12" s="127"/>
      <c r="K12" s="121"/>
      <c r="L12" s="127"/>
      <c r="M12" s="121"/>
      <c r="N12" s="127"/>
      <c r="O12" s="127"/>
      <c r="P12" s="127"/>
      <c r="Q12" s="50" t="s">
        <v>457</v>
      </c>
      <c r="R12" s="127"/>
      <c r="S12" s="128"/>
      <c r="T12" s="128"/>
      <c r="U12" s="3" t="s">
        <v>132</v>
      </c>
      <c r="V12" t="s">
        <v>133</v>
      </c>
      <c r="W12" s="131"/>
      <c r="X12" s="133"/>
    </row>
    <row r="13" spans="1:34" ht="16.5" x14ac:dyDescent="0.3">
      <c r="A13" s="2" t="s">
        <v>95</v>
      </c>
      <c r="B13" s="3" t="s">
        <v>142</v>
      </c>
      <c r="C13" t="s">
        <v>143</v>
      </c>
      <c r="D13" s="45"/>
      <c r="E13" s="5" t="s">
        <v>134</v>
      </c>
      <c r="F13" s="49"/>
      <c r="G13" s="49"/>
      <c r="H13" s="131"/>
      <c r="I13" s="133"/>
      <c r="J13" s="127"/>
      <c r="K13" s="127"/>
      <c r="L13" s="127"/>
      <c r="M13" s="127"/>
      <c r="N13" s="127"/>
      <c r="O13" s="121"/>
      <c r="P13" s="127"/>
      <c r="Q13" s="127"/>
      <c r="R13" s="127"/>
      <c r="U13" s="3" t="s">
        <v>142</v>
      </c>
      <c r="V13" t="s">
        <v>143</v>
      </c>
      <c r="W13" s="131"/>
      <c r="X13" s="133"/>
    </row>
    <row r="14" spans="1:34" ht="45.75" x14ac:dyDescent="0.3">
      <c r="A14" s="2" t="s">
        <v>95</v>
      </c>
      <c r="B14" s="3" t="s">
        <v>104</v>
      </c>
      <c r="C14" t="s">
        <v>105</v>
      </c>
      <c r="D14" s="45"/>
      <c r="E14" s="5" t="s">
        <v>101</v>
      </c>
      <c r="F14" s="49"/>
      <c r="G14" s="49"/>
      <c r="H14" s="46"/>
      <c r="I14" s="47"/>
      <c r="J14" s="127"/>
      <c r="K14" s="50" t="s">
        <v>458</v>
      </c>
      <c r="L14" s="127"/>
      <c r="M14" s="127"/>
      <c r="N14" s="127"/>
      <c r="O14" s="127"/>
      <c r="P14" s="127"/>
      <c r="Q14" s="121"/>
      <c r="R14" s="127"/>
      <c r="S14" s="128"/>
      <c r="T14" s="128"/>
      <c r="U14" s="3" t="s">
        <v>104</v>
      </c>
      <c r="V14" t="s">
        <v>105</v>
      </c>
      <c r="W14" s="131"/>
      <c r="X14" s="133"/>
    </row>
    <row r="15" spans="1:34" ht="45.75" x14ac:dyDescent="0.3">
      <c r="A15" s="2" t="s">
        <v>95</v>
      </c>
      <c r="B15" s="3" t="s">
        <v>412</v>
      </c>
      <c r="C15" t="s">
        <v>156</v>
      </c>
      <c r="D15" s="45"/>
      <c r="E15" s="107">
        <f>2024-1983</f>
        <v>41</v>
      </c>
      <c r="F15" s="49"/>
      <c r="G15" s="49"/>
      <c r="H15" s="46"/>
      <c r="I15" s="47"/>
      <c r="J15" s="127"/>
      <c r="K15" s="127"/>
      <c r="L15" s="127"/>
      <c r="M15" s="121"/>
      <c r="N15" s="121" t="s">
        <v>459</v>
      </c>
      <c r="O15" s="127"/>
      <c r="P15" s="127"/>
      <c r="Q15" s="127"/>
      <c r="R15" s="50" t="s">
        <v>460</v>
      </c>
      <c r="S15" s="128"/>
      <c r="T15" s="128"/>
      <c r="U15" s="3" t="s">
        <v>412</v>
      </c>
      <c r="V15" t="s">
        <v>156</v>
      </c>
      <c r="W15" s="131"/>
      <c r="X15" s="133"/>
    </row>
    <row r="16" spans="1:34" ht="16.5" x14ac:dyDescent="0.3">
      <c r="A16" s="2" t="s">
        <v>95</v>
      </c>
      <c r="B16" s="3" t="s">
        <v>413</v>
      </c>
      <c r="C16" t="s">
        <v>414</v>
      </c>
      <c r="D16" s="45"/>
      <c r="E16" s="5" t="s">
        <v>306</v>
      </c>
      <c r="F16" s="49"/>
      <c r="G16" s="49"/>
      <c r="H16" s="46"/>
      <c r="I16" s="47"/>
      <c r="J16" s="127"/>
      <c r="K16" s="121"/>
      <c r="L16" s="127"/>
      <c r="M16" s="127"/>
      <c r="N16" s="127"/>
      <c r="O16" s="127"/>
      <c r="P16" s="127"/>
      <c r="Q16" s="127"/>
      <c r="R16" s="121"/>
      <c r="S16" s="128"/>
      <c r="T16" s="128"/>
      <c r="U16" s="3" t="s">
        <v>413</v>
      </c>
      <c r="V16" t="s">
        <v>414</v>
      </c>
      <c r="W16" s="131"/>
      <c r="X16" s="133"/>
    </row>
    <row r="17" spans="1:34" ht="45.75" x14ac:dyDescent="0.3">
      <c r="A17" s="2" t="s">
        <v>95</v>
      </c>
      <c r="B17" s="3" t="s">
        <v>415</v>
      </c>
      <c r="C17" t="s">
        <v>416</v>
      </c>
      <c r="D17" s="45"/>
      <c r="E17" s="5" t="s">
        <v>254</v>
      </c>
      <c r="F17" s="49"/>
      <c r="G17" s="49"/>
      <c r="H17" s="46"/>
      <c r="I17" s="75" t="s">
        <v>486</v>
      </c>
      <c r="J17" s="127"/>
      <c r="K17" s="121"/>
      <c r="L17" s="127"/>
      <c r="M17" s="127"/>
      <c r="N17" s="50" t="s">
        <v>461</v>
      </c>
      <c r="O17" s="127"/>
      <c r="P17" s="127"/>
      <c r="Q17" s="127"/>
      <c r="R17" s="127"/>
      <c r="S17" s="128"/>
      <c r="T17" s="128"/>
      <c r="U17" s="3" t="s">
        <v>415</v>
      </c>
      <c r="V17" t="s">
        <v>416</v>
      </c>
      <c r="W17" s="131"/>
      <c r="X17" s="75" t="s">
        <v>523</v>
      </c>
    </row>
    <row r="18" spans="1:34" ht="45" x14ac:dyDescent="0.25">
      <c r="A18" s="2" t="s">
        <v>95</v>
      </c>
      <c r="B18" s="3" t="s">
        <v>413</v>
      </c>
      <c r="C18" t="s">
        <v>417</v>
      </c>
      <c r="E18" s="5" t="s">
        <v>245</v>
      </c>
      <c r="H18" s="46"/>
      <c r="I18" s="47"/>
      <c r="N18" s="51" t="s">
        <v>462</v>
      </c>
      <c r="U18" s="3" t="s">
        <v>413</v>
      </c>
      <c r="V18" t="s">
        <v>417</v>
      </c>
      <c r="W18" s="46"/>
      <c r="X18" s="47"/>
    </row>
    <row r="19" spans="1:34" ht="45.75" x14ac:dyDescent="0.3">
      <c r="A19" s="2" t="s">
        <v>95</v>
      </c>
      <c r="B19" s="3" t="s">
        <v>123</v>
      </c>
      <c r="C19" t="s">
        <v>124</v>
      </c>
      <c r="D19" s="45"/>
      <c r="E19" s="5" t="s">
        <v>90</v>
      </c>
      <c r="F19" s="49"/>
      <c r="G19" s="49"/>
      <c r="H19" s="46"/>
      <c r="I19" s="47"/>
      <c r="J19" s="127"/>
      <c r="K19" s="127"/>
      <c r="L19" s="127"/>
      <c r="M19" s="121"/>
      <c r="N19" s="127"/>
      <c r="O19" s="50" t="s">
        <v>463</v>
      </c>
      <c r="P19" s="127"/>
      <c r="Q19" s="127"/>
      <c r="R19" s="127"/>
      <c r="S19" s="128"/>
      <c r="T19" s="128"/>
      <c r="U19" s="3" t="s">
        <v>123</v>
      </c>
      <c r="V19" t="s">
        <v>124</v>
      </c>
      <c r="W19" s="131"/>
      <c r="X19" s="133"/>
    </row>
    <row r="20" spans="1:34" ht="45" x14ac:dyDescent="0.25">
      <c r="A20" s="2" t="s">
        <v>95</v>
      </c>
      <c r="B20" s="3" t="s">
        <v>96</v>
      </c>
      <c r="C20" t="s">
        <v>97</v>
      </c>
      <c r="E20" s="5" t="s">
        <v>445</v>
      </c>
      <c r="H20" s="46"/>
      <c r="I20" s="47"/>
      <c r="K20" s="50" t="s">
        <v>464</v>
      </c>
      <c r="Q20" s="50" t="s">
        <v>465</v>
      </c>
      <c r="U20" s="3" t="s">
        <v>96</v>
      </c>
      <c r="V20" t="s">
        <v>97</v>
      </c>
      <c r="W20" s="46"/>
      <c r="X20" s="47"/>
    </row>
    <row r="21" spans="1:34" ht="45.75" x14ac:dyDescent="0.3">
      <c r="A21" s="2" t="s">
        <v>95</v>
      </c>
      <c r="B21" s="3" t="s">
        <v>418</v>
      </c>
      <c r="C21" t="s">
        <v>419</v>
      </c>
      <c r="D21" s="45"/>
      <c r="E21" s="5" t="s">
        <v>162</v>
      </c>
      <c r="F21" s="49"/>
      <c r="G21" s="49"/>
      <c r="H21" s="131"/>
      <c r="I21" s="75" t="s">
        <v>488</v>
      </c>
      <c r="J21" s="127"/>
      <c r="K21" s="50" t="s">
        <v>466</v>
      </c>
      <c r="L21" s="127"/>
      <c r="M21" s="127"/>
      <c r="N21" s="127"/>
      <c r="O21" s="127"/>
      <c r="P21" s="127"/>
      <c r="Q21" s="127"/>
      <c r="R21" s="50" t="s">
        <v>467</v>
      </c>
      <c r="U21" s="3" t="s">
        <v>418</v>
      </c>
      <c r="V21" t="s">
        <v>419</v>
      </c>
      <c r="W21" s="134" t="s">
        <v>526</v>
      </c>
      <c r="X21" s="133"/>
    </row>
    <row r="22" spans="1:34" ht="45.75" x14ac:dyDescent="0.3">
      <c r="A22" s="2" t="s">
        <v>95</v>
      </c>
      <c r="B22" s="3" t="s">
        <v>521</v>
      </c>
      <c r="C22" t="s">
        <v>522</v>
      </c>
      <c r="D22" s="45"/>
      <c r="E22" s="5" t="s">
        <v>162</v>
      </c>
      <c r="F22" s="49"/>
      <c r="G22" s="49"/>
      <c r="H22" s="131"/>
      <c r="I22" s="75" t="s">
        <v>488</v>
      </c>
      <c r="J22" s="127"/>
      <c r="K22" s="50" t="s">
        <v>466</v>
      </c>
      <c r="L22" s="127"/>
      <c r="M22" s="127"/>
      <c r="N22" s="127"/>
      <c r="O22" s="127"/>
      <c r="P22" s="127"/>
      <c r="Q22" s="127"/>
      <c r="R22" s="50" t="s">
        <v>467</v>
      </c>
      <c r="U22" s="3" t="s">
        <v>521</v>
      </c>
      <c r="V22" t="s">
        <v>522</v>
      </c>
      <c r="W22" s="76" t="s">
        <v>527</v>
      </c>
      <c r="X22" s="133"/>
    </row>
    <row r="23" spans="1:34" ht="45" x14ac:dyDescent="0.25">
      <c r="A23" s="2" t="s">
        <v>95</v>
      </c>
      <c r="B23" s="3" t="s">
        <v>420</v>
      </c>
      <c r="C23" t="s">
        <v>421</v>
      </c>
      <c r="E23" s="5" t="s">
        <v>223</v>
      </c>
      <c r="H23" s="46"/>
      <c r="I23" s="74" t="s">
        <v>489</v>
      </c>
      <c r="K23" s="51" t="s">
        <v>468</v>
      </c>
      <c r="M23" s="50" t="s">
        <v>469</v>
      </c>
      <c r="Q23" s="50" t="s">
        <v>470</v>
      </c>
      <c r="U23" s="3" t="s">
        <v>420</v>
      </c>
      <c r="V23" t="s">
        <v>421</v>
      </c>
      <c r="W23" s="46"/>
      <c r="X23" s="47"/>
    </row>
    <row r="24" spans="1:34" s="63" customFormat="1" x14ac:dyDescent="0.25">
      <c r="A24" s="78"/>
      <c r="B24" s="139"/>
      <c r="C24" s="77"/>
      <c r="D24" s="78"/>
      <c r="E24" s="79"/>
      <c r="F24" s="79"/>
      <c r="G24" s="79"/>
      <c r="H24" s="80"/>
      <c r="I24" s="81"/>
      <c r="J24" s="79"/>
      <c r="K24" s="79"/>
      <c r="L24" s="79"/>
      <c r="M24" s="79"/>
      <c r="N24" s="79"/>
      <c r="O24" s="79"/>
      <c r="P24" s="79"/>
      <c r="Q24" s="79"/>
      <c r="R24" s="79"/>
      <c r="S24" s="77"/>
      <c r="T24" s="77"/>
      <c r="U24" s="82"/>
      <c r="V24" s="77"/>
      <c r="W24" s="80"/>
      <c r="X24" s="81"/>
      <c r="Y24" s="79"/>
      <c r="Z24" s="79"/>
      <c r="AA24" s="79"/>
      <c r="AB24" s="79"/>
      <c r="AC24" s="79"/>
      <c r="AD24" s="79"/>
      <c r="AE24" s="79"/>
      <c r="AF24" s="79"/>
      <c r="AG24" s="79"/>
      <c r="AH24" s="83"/>
    </row>
    <row r="25" spans="1:34" x14ac:dyDescent="0.25">
      <c r="E25" s="2"/>
      <c r="F25" s="2"/>
      <c r="G25" s="106" t="s">
        <v>359</v>
      </c>
      <c r="H25" s="2">
        <v>619</v>
      </c>
      <c r="I25" s="2">
        <f>346+161</f>
        <v>507</v>
      </c>
      <c r="J25" s="144">
        <f>8+7</f>
        <v>15</v>
      </c>
      <c r="K25" s="144">
        <f>8+7+6</f>
        <v>21</v>
      </c>
      <c r="L25" s="144">
        <f>10+8</f>
        <v>18</v>
      </c>
      <c r="M25" s="144">
        <f>8</f>
        <v>8</v>
      </c>
      <c r="N25" s="140">
        <f>73.02+63.18</f>
        <v>136.19999999999999</v>
      </c>
      <c r="O25" s="140">
        <f>62.27</f>
        <v>62.27</v>
      </c>
      <c r="P25" s="144">
        <f>7+6</f>
        <v>13</v>
      </c>
      <c r="Q25" s="144">
        <f>10+8+7</f>
        <v>25</v>
      </c>
      <c r="R25" s="140">
        <f>40.72+31.94</f>
        <v>72.66</v>
      </c>
      <c r="S25" s="141">
        <v>65.209999999999994</v>
      </c>
      <c r="T25" s="142" t="s">
        <v>448</v>
      </c>
      <c r="V25" s="111"/>
      <c r="W25" s="2">
        <f>364+259</f>
        <v>623</v>
      </c>
      <c r="X25" s="2">
        <f>542+733</f>
        <v>1275</v>
      </c>
      <c r="Y25" s="164" t="s">
        <v>537</v>
      </c>
      <c r="Z25" s="127" t="s">
        <v>539</v>
      </c>
      <c r="AA25" s="127" t="s">
        <v>540</v>
      </c>
      <c r="AB25" s="164" t="s">
        <v>537</v>
      </c>
      <c r="AC25" s="127" t="s">
        <v>541</v>
      </c>
      <c r="AD25" s="127" t="s">
        <v>535</v>
      </c>
      <c r="AE25" s="164" t="s">
        <v>537</v>
      </c>
      <c r="AF25" s="165" t="s">
        <v>537</v>
      </c>
      <c r="AG25" s="165" t="s">
        <v>537</v>
      </c>
      <c r="AH25" s="5" t="s">
        <v>544</v>
      </c>
    </row>
    <row r="26" spans="1:34" x14ac:dyDescent="0.25">
      <c r="G26" s="106" t="s">
        <v>358</v>
      </c>
      <c r="H26" s="5" t="s">
        <v>510</v>
      </c>
      <c r="I26" s="5" t="s">
        <v>510</v>
      </c>
      <c r="J26" s="2" t="s">
        <v>503</v>
      </c>
      <c r="K26" s="2" t="s">
        <v>361</v>
      </c>
      <c r="L26" s="2" t="s">
        <v>346</v>
      </c>
      <c r="M26" s="2">
        <v>2</v>
      </c>
      <c r="N26" s="5" t="s">
        <v>510</v>
      </c>
      <c r="O26" s="5" t="s">
        <v>509</v>
      </c>
      <c r="P26" s="2" t="s">
        <v>515</v>
      </c>
      <c r="Q26" s="2" t="s">
        <v>519</v>
      </c>
      <c r="R26" s="5" t="s">
        <v>510</v>
      </c>
      <c r="S26">
        <v>2</v>
      </c>
      <c r="T26">
        <v>2</v>
      </c>
      <c r="W26" s="5" t="s">
        <v>510</v>
      </c>
      <c r="X26" s="5" t="s">
        <v>510</v>
      </c>
      <c r="Z26" s="5" t="s">
        <v>510</v>
      </c>
      <c r="AA26" s="5" t="s">
        <v>509</v>
      </c>
      <c r="AC26" s="5" t="s">
        <v>510</v>
      </c>
      <c r="AD26" s="5" t="s">
        <v>510</v>
      </c>
      <c r="AH26" s="2">
        <v>1</v>
      </c>
    </row>
    <row r="27" spans="1:34" x14ac:dyDescent="0.25">
      <c r="G27" s="106"/>
      <c r="J27" s="2"/>
      <c r="K27" s="2"/>
      <c r="L27" s="2"/>
      <c r="M27" s="2"/>
    </row>
    <row r="29" spans="1:34" s="44" customFormat="1" ht="18.75" x14ac:dyDescent="0.3">
      <c r="A29" s="93" t="s">
        <v>422</v>
      </c>
      <c r="B29" s="94"/>
      <c r="C29" s="95"/>
      <c r="D29" s="42"/>
      <c r="E29" s="43"/>
      <c r="F29" s="43"/>
      <c r="G29" s="43"/>
      <c r="H29" s="5" t="s">
        <v>52</v>
      </c>
      <c r="I29" s="5" t="s">
        <v>52</v>
      </c>
      <c r="J29" s="5"/>
      <c r="K29" s="5"/>
      <c r="L29" s="5"/>
      <c r="M29" s="5"/>
      <c r="N29" s="5"/>
      <c r="O29" s="5"/>
      <c r="P29" s="5"/>
      <c r="Q29" s="5"/>
      <c r="R29" s="5"/>
      <c r="S29" s="5" t="s">
        <v>53</v>
      </c>
      <c r="T29" s="5"/>
      <c r="U29" s="5"/>
      <c r="V29" s="5"/>
      <c r="W29" s="5" t="s">
        <v>54</v>
      </c>
      <c r="X29" s="5" t="s">
        <v>54</v>
      </c>
      <c r="Y29" s="5" t="s">
        <v>56</v>
      </c>
      <c r="Z29" s="5" t="s">
        <v>57</v>
      </c>
      <c r="AA29" s="5" t="s">
        <v>58</v>
      </c>
      <c r="AB29" s="5" t="s">
        <v>59</v>
      </c>
      <c r="AC29" s="5" t="s">
        <v>60</v>
      </c>
      <c r="AD29" s="5" t="s">
        <v>61</v>
      </c>
      <c r="AE29" s="5" t="s">
        <v>62</v>
      </c>
      <c r="AF29" s="5" t="s">
        <v>63</v>
      </c>
      <c r="AG29" s="5" t="s">
        <v>64</v>
      </c>
      <c r="AH29" s="5" t="s">
        <v>65</v>
      </c>
    </row>
    <row r="30" spans="1:34" x14ac:dyDescent="0.25">
      <c r="E30" s="4" t="s">
        <v>2</v>
      </c>
      <c r="H30" s="177" t="s">
        <v>3</v>
      </c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20"/>
      <c r="U30" s="7"/>
      <c r="W30" s="178" t="s">
        <v>4</v>
      </c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</row>
    <row r="31" spans="1:34" s="14" customFormat="1" x14ac:dyDescent="0.25">
      <c r="A31" s="8" t="s">
        <v>5</v>
      </c>
      <c r="B31" s="9" t="s">
        <v>6</v>
      </c>
      <c r="C31" s="10" t="s">
        <v>7</v>
      </c>
      <c r="D31" s="8" t="s">
        <v>8</v>
      </c>
      <c r="E31" s="4" t="s">
        <v>9</v>
      </c>
      <c r="F31" s="4" t="s">
        <v>10</v>
      </c>
      <c r="G31" s="4" t="s">
        <v>11</v>
      </c>
      <c r="H31" s="11" t="s">
        <v>12</v>
      </c>
      <c r="I31" s="12" t="s">
        <v>13</v>
      </c>
      <c r="J31" s="4" t="s">
        <v>406</v>
      </c>
      <c r="K31" s="4" t="s">
        <v>407</v>
      </c>
      <c r="L31" s="4" t="s">
        <v>408</v>
      </c>
      <c r="M31" s="4" t="s">
        <v>409</v>
      </c>
      <c r="N31" s="4" t="s">
        <v>446</v>
      </c>
      <c r="O31" s="4" t="s">
        <v>17</v>
      </c>
      <c r="P31" s="4" t="s">
        <v>410</v>
      </c>
      <c r="Q31" s="4" t="s">
        <v>411</v>
      </c>
      <c r="R31" s="12" t="s">
        <v>447</v>
      </c>
      <c r="S31" s="8" t="s">
        <v>20</v>
      </c>
      <c r="T31" s="8" t="s">
        <v>23</v>
      </c>
      <c r="U31" s="13" t="s">
        <v>6</v>
      </c>
      <c r="V31" s="10" t="s">
        <v>7</v>
      </c>
      <c r="W31" s="11" t="s">
        <v>21</v>
      </c>
      <c r="X31" s="12" t="s">
        <v>22</v>
      </c>
      <c r="Y31" s="4" t="s">
        <v>24</v>
      </c>
      <c r="Z31" s="4" t="s">
        <v>25</v>
      </c>
      <c r="AA31" s="4" t="s">
        <v>26</v>
      </c>
      <c r="AB31" s="4" t="s">
        <v>27</v>
      </c>
      <c r="AC31" s="4" t="s">
        <v>28</v>
      </c>
      <c r="AD31" s="4" t="s">
        <v>29</v>
      </c>
      <c r="AE31" s="4" t="s">
        <v>30</v>
      </c>
      <c r="AF31" s="4" t="s">
        <v>31</v>
      </c>
      <c r="AG31" s="4" t="s">
        <v>32</v>
      </c>
      <c r="AH31" s="10" t="s">
        <v>33</v>
      </c>
    </row>
    <row r="32" spans="1:34" ht="45" x14ac:dyDescent="0.25">
      <c r="A32" s="2" t="s">
        <v>66</v>
      </c>
      <c r="B32" s="3" t="s">
        <v>440</v>
      </c>
      <c r="C32" t="s">
        <v>186</v>
      </c>
      <c r="D32" s="45"/>
      <c r="E32" s="5" t="s">
        <v>218</v>
      </c>
      <c r="H32" s="131"/>
      <c r="I32" s="133"/>
      <c r="J32" s="127"/>
      <c r="K32" s="127"/>
      <c r="L32" s="50" t="s">
        <v>471</v>
      </c>
      <c r="M32" s="121"/>
      <c r="N32" s="127"/>
      <c r="O32" s="127"/>
      <c r="P32" s="50" t="s">
        <v>472</v>
      </c>
      <c r="Q32" s="127"/>
      <c r="R32" s="127"/>
      <c r="S32" s="128"/>
      <c r="T32" s="128"/>
      <c r="U32" s="3" t="s">
        <v>440</v>
      </c>
      <c r="V32" t="s">
        <v>186</v>
      </c>
      <c r="W32" s="131"/>
      <c r="X32" s="132"/>
    </row>
    <row r="33" spans="1:34" ht="45.75" x14ac:dyDescent="0.3">
      <c r="A33" s="2" t="s">
        <v>66</v>
      </c>
      <c r="B33" s="3" t="s">
        <v>168</v>
      </c>
      <c r="C33" t="s">
        <v>169</v>
      </c>
      <c r="D33" s="45"/>
      <c r="E33" s="5" t="s">
        <v>197</v>
      </c>
      <c r="F33" s="49"/>
      <c r="G33" s="49"/>
      <c r="H33" s="131"/>
      <c r="I33" s="133"/>
      <c r="J33" s="127"/>
      <c r="K33" s="127"/>
      <c r="L33" s="127"/>
      <c r="M33" s="127"/>
      <c r="N33" s="127"/>
      <c r="O33" s="127"/>
      <c r="P33" s="50" t="s">
        <v>473</v>
      </c>
      <c r="Q33" s="127"/>
      <c r="R33" s="127"/>
      <c r="S33" s="128"/>
      <c r="T33" s="128"/>
      <c r="U33" s="7" t="s">
        <v>168</v>
      </c>
      <c r="V33" t="s">
        <v>169</v>
      </c>
      <c r="W33" s="131"/>
      <c r="X33" s="133"/>
    </row>
    <row r="34" spans="1:34" ht="45.75" x14ac:dyDescent="0.3">
      <c r="A34" s="2" t="s">
        <v>66</v>
      </c>
      <c r="B34" s="3" t="s">
        <v>171</v>
      </c>
      <c r="C34" t="s">
        <v>172</v>
      </c>
      <c r="D34" s="45"/>
      <c r="E34" s="5" t="s">
        <v>439</v>
      </c>
      <c r="F34" s="49"/>
      <c r="G34" s="52"/>
      <c r="H34" s="131"/>
      <c r="I34" s="133"/>
      <c r="J34" s="127"/>
      <c r="K34" s="127"/>
      <c r="L34" s="127"/>
      <c r="M34" s="127"/>
      <c r="N34" s="121" t="s">
        <v>474</v>
      </c>
      <c r="O34" s="127"/>
      <c r="P34" s="127"/>
      <c r="Q34" s="127"/>
      <c r="R34" s="121" t="s">
        <v>475</v>
      </c>
      <c r="S34" s="128"/>
      <c r="T34" s="128"/>
      <c r="U34" s="7" t="s">
        <v>171</v>
      </c>
      <c r="V34" t="s">
        <v>172</v>
      </c>
      <c r="W34" s="131"/>
      <c r="X34" s="133"/>
    </row>
    <row r="35" spans="1:34" ht="30.75" x14ac:dyDescent="0.3">
      <c r="A35" s="2" t="s">
        <v>66</v>
      </c>
      <c r="B35" s="3" t="s">
        <v>179</v>
      </c>
      <c r="C35" t="s">
        <v>180</v>
      </c>
      <c r="D35" s="45"/>
      <c r="E35" s="5" t="s">
        <v>293</v>
      </c>
      <c r="F35" s="52"/>
      <c r="G35" s="49"/>
      <c r="H35" s="76" t="s">
        <v>493</v>
      </c>
      <c r="I35" s="132" t="s">
        <v>490</v>
      </c>
      <c r="J35" s="127"/>
      <c r="K35" s="127"/>
      <c r="L35" s="121"/>
      <c r="M35" s="127"/>
      <c r="N35" s="127"/>
      <c r="O35" s="127"/>
      <c r="P35" s="127"/>
      <c r="Q35" s="127"/>
      <c r="R35" s="127"/>
      <c r="S35" s="128"/>
      <c r="T35" s="128"/>
      <c r="U35" s="7" t="s">
        <v>179</v>
      </c>
      <c r="V35" t="s">
        <v>180</v>
      </c>
      <c r="W35" s="76" t="s">
        <v>528</v>
      </c>
      <c r="X35" s="75" t="s">
        <v>532</v>
      </c>
    </row>
    <row r="36" spans="1:34" ht="30.75" x14ac:dyDescent="0.3">
      <c r="A36" s="2" t="s">
        <v>66</v>
      </c>
      <c r="B36" s="3" t="s">
        <v>442</v>
      </c>
      <c r="C36" t="s">
        <v>441</v>
      </c>
      <c r="D36" s="45"/>
      <c r="E36" s="5" t="s">
        <v>98</v>
      </c>
      <c r="F36" s="52"/>
      <c r="G36" s="49"/>
      <c r="H36" s="131"/>
      <c r="I36" s="133"/>
      <c r="J36" s="127"/>
      <c r="K36" s="127"/>
      <c r="L36" s="127"/>
      <c r="M36" s="127"/>
      <c r="N36" s="127"/>
      <c r="O36" s="127"/>
      <c r="P36" s="127"/>
      <c r="Q36" s="127"/>
      <c r="R36" s="127"/>
      <c r="S36" s="128"/>
      <c r="T36" s="128"/>
      <c r="U36" s="3" t="s">
        <v>442</v>
      </c>
      <c r="V36" t="s">
        <v>441</v>
      </c>
      <c r="W36" s="134" t="s">
        <v>529</v>
      </c>
      <c r="X36" s="75" t="s">
        <v>533</v>
      </c>
    </row>
    <row r="37" spans="1:34" s="55" customFormat="1" ht="45" x14ac:dyDescent="0.25">
      <c r="A37" s="2" t="s">
        <v>66</v>
      </c>
      <c r="B37" s="54" t="s">
        <v>443</v>
      </c>
      <c r="C37" s="55" t="s">
        <v>444</v>
      </c>
      <c r="D37" s="45"/>
      <c r="E37" s="56" t="s">
        <v>162</v>
      </c>
      <c r="F37" s="56"/>
      <c r="G37" s="56"/>
      <c r="H37" s="135"/>
      <c r="I37" s="136"/>
      <c r="J37" s="143" t="s">
        <v>476</v>
      </c>
      <c r="K37" s="129"/>
      <c r="L37" s="129"/>
      <c r="M37" s="129"/>
      <c r="N37" s="129"/>
      <c r="O37" s="129"/>
      <c r="P37" s="129"/>
      <c r="Q37" s="129"/>
      <c r="R37" s="143" t="s">
        <v>477</v>
      </c>
      <c r="S37" s="130"/>
      <c r="T37" s="130"/>
      <c r="U37" s="54" t="s">
        <v>443</v>
      </c>
      <c r="V37" s="55" t="s">
        <v>444</v>
      </c>
      <c r="W37" s="135"/>
      <c r="X37" s="136"/>
      <c r="Y37" s="56"/>
      <c r="Z37" s="56"/>
      <c r="AA37" s="56"/>
      <c r="AB37" s="56"/>
      <c r="AC37" s="56"/>
      <c r="AD37" s="56"/>
      <c r="AE37" s="56"/>
      <c r="AF37" s="56"/>
      <c r="AG37" s="56"/>
    </row>
    <row r="38" spans="1:34" x14ac:dyDescent="0.25">
      <c r="A38" s="24"/>
      <c r="B38" s="69"/>
      <c r="C38" s="23"/>
      <c r="D38" s="24"/>
      <c r="E38" s="70"/>
      <c r="F38" s="70"/>
      <c r="G38" s="70"/>
      <c r="H38" s="71"/>
      <c r="I38" s="72"/>
      <c r="J38" s="70"/>
      <c r="K38" s="70"/>
      <c r="L38" s="70"/>
      <c r="M38" s="70"/>
      <c r="N38" s="70"/>
      <c r="O38" s="70"/>
      <c r="P38" s="70"/>
      <c r="Q38" s="70"/>
      <c r="R38" s="70"/>
      <c r="S38" s="23"/>
      <c r="T38" s="23"/>
      <c r="U38" s="73"/>
      <c r="V38" s="23"/>
      <c r="W38" s="71"/>
      <c r="X38" s="72"/>
      <c r="Y38" s="70"/>
      <c r="Z38" s="70"/>
      <c r="AA38" s="70"/>
      <c r="AB38" s="70"/>
      <c r="AC38" s="70"/>
      <c r="AD38" s="70"/>
      <c r="AE38" s="70"/>
      <c r="AF38" s="70"/>
      <c r="AG38" s="70"/>
      <c r="AH38" s="23"/>
    </row>
    <row r="39" spans="1:34" ht="30" x14ac:dyDescent="0.25">
      <c r="A39" s="2" t="s">
        <v>95</v>
      </c>
      <c r="B39" s="3" t="s">
        <v>185</v>
      </c>
      <c r="C39" t="s">
        <v>186</v>
      </c>
      <c r="D39" s="45"/>
      <c r="E39" s="5" t="s">
        <v>275</v>
      </c>
      <c r="H39" s="76" t="s">
        <v>494</v>
      </c>
      <c r="I39" s="75" t="s">
        <v>491</v>
      </c>
      <c r="J39" s="127"/>
      <c r="K39" s="127"/>
      <c r="L39" s="127"/>
      <c r="M39" s="127"/>
      <c r="N39" s="127"/>
      <c r="O39" s="127"/>
      <c r="P39" s="127"/>
      <c r="Q39" s="127"/>
      <c r="R39" s="127"/>
      <c r="S39" s="128"/>
      <c r="T39" s="128"/>
      <c r="U39" s="7" t="s">
        <v>185</v>
      </c>
      <c r="V39" t="s">
        <v>186</v>
      </c>
      <c r="W39" s="134" t="s">
        <v>531</v>
      </c>
      <c r="X39" s="133"/>
    </row>
    <row r="40" spans="1:34" ht="16.5" x14ac:dyDescent="0.3">
      <c r="A40" s="2" t="s">
        <v>95</v>
      </c>
      <c r="B40" s="3" t="s">
        <v>189</v>
      </c>
      <c r="C40" t="s">
        <v>190</v>
      </c>
      <c r="D40" s="45"/>
      <c r="E40" s="5" t="s">
        <v>275</v>
      </c>
      <c r="F40" s="49"/>
      <c r="G40" s="49"/>
      <c r="H40" s="131"/>
      <c r="I40" s="133"/>
      <c r="J40" s="127"/>
      <c r="K40" s="127"/>
      <c r="L40" s="127"/>
      <c r="M40" s="121"/>
      <c r="N40" s="127"/>
      <c r="O40" s="127"/>
      <c r="P40" s="127"/>
      <c r="Q40" s="121"/>
      <c r="R40" s="127"/>
      <c r="S40" s="128"/>
      <c r="T40" s="128"/>
      <c r="U40" s="7" t="s">
        <v>189</v>
      </c>
      <c r="V40" t="s">
        <v>190</v>
      </c>
      <c r="W40" s="131"/>
      <c r="X40" s="133"/>
    </row>
    <row r="41" spans="1:34" ht="45.75" x14ac:dyDescent="0.3">
      <c r="A41" s="2" t="s">
        <v>95</v>
      </c>
      <c r="B41" s="3" t="s">
        <v>193</v>
      </c>
      <c r="C41" t="s">
        <v>194</v>
      </c>
      <c r="D41" s="45"/>
      <c r="E41" s="5" t="s">
        <v>240</v>
      </c>
      <c r="F41" s="49"/>
      <c r="G41" s="49"/>
      <c r="H41" s="131"/>
      <c r="I41" s="133"/>
      <c r="J41" s="127"/>
      <c r="K41" s="127"/>
      <c r="L41" s="127"/>
      <c r="M41" s="127"/>
      <c r="N41" s="127"/>
      <c r="O41" s="50" t="s">
        <v>478</v>
      </c>
      <c r="P41" s="127"/>
      <c r="Q41" s="127"/>
      <c r="R41" s="121"/>
      <c r="S41" s="128"/>
      <c r="T41" s="128"/>
      <c r="U41" s="7" t="s">
        <v>193</v>
      </c>
      <c r="V41" t="s">
        <v>194</v>
      </c>
      <c r="W41" s="131"/>
      <c r="X41" s="133"/>
    </row>
    <row r="42" spans="1:34" ht="45.75" x14ac:dyDescent="0.3">
      <c r="A42" s="2" t="s">
        <v>95</v>
      </c>
      <c r="B42" s="3" t="s">
        <v>196</v>
      </c>
      <c r="C42" t="s">
        <v>194</v>
      </c>
      <c r="D42" s="45"/>
      <c r="E42" s="5" t="s">
        <v>181</v>
      </c>
      <c r="F42" s="49"/>
      <c r="G42" s="49"/>
      <c r="H42" s="131"/>
      <c r="I42" s="133"/>
      <c r="J42" s="127"/>
      <c r="K42" s="127"/>
      <c r="L42" s="127"/>
      <c r="M42" s="127"/>
      <c r="N42" s="50" t="s">
        <v>479</v>
      </c>
      <c r="O42" s="127"/>
      <c r="P42" s="127"/>
      <c r="Q42" s="127"/>
      <c r="R42" s="50" t="s">
        <v>480</v>
      </c>
      <c r="S42" s="128"/>
      <c r="T42" s="128"/>
      <c r="U42" s="7" t="s">
        <v>196</v>
      </c>
      <c r="V42" t="s">
        <v>194</v>
      </c>
      <c r="W42" s="131"/>
      <c r="X42" s="133"/>
    </row>
    <row r="43" spans="1:34" ht="30.75" x14ac:dyDescent="0.3">
      <c r="A43" s="2" t="s">
        <v>95</v>
      </c>
      <c r="B43" s="3" t="s">
        <v>198</v>
      </c>
      <c r="C43" t="s">
        <v>199</v>
      </c>
      <c r="D43" s="45"/>
      <c r="E43" s="5" t="s">
        <v>240</v>
      </c>
      <c r="F43" s="49"/>
      <c r="G43" s="49"/>
      <c r="H43" s="131"/>
      <c r="I43" s="75" t="s">
        <v>492</v>
      </c>
      <c r="J43" s="127"/>
      <c r="K43" s="127"/>
      <c r="L43" s="127"/>
      <c r="M43" s="127"/>
      <c r="N43" s="127"/>
      <c r="O43" s="127"/>
      <c r="P43" s="127"/>
      <c r="Q43" s="127"/>
      <c r="R43" s="127"/>
      <c r="S43" s="128"/>
      <c r="T43" s="128"/>
      <c r="U43" s="7" t="s">
        <v>198</v>
      </c>
      <c r="V43" t="s">
        <v>199</v>
      </c>
      <c r="W43" s="76" t="s">
        <v>530</v>
      </c>
      <c r="X43" s="133"/>
    </row>
    <row r="44" spans="1:34" ht="16.5" x14ac:dyDescent="0.3">
      <c r="A44" s="2" t="s">
        <v>95</v>
      </c>
      <c r="B44" s="3" t="s">
        <v>203</v>
      </c>
      <c r="C44" t="s">
        <v>204</v>
      </c>
      <c r="D44" s="45"/>
      <c r="E44" s="5" t="s">
        <v>435</v>
      </c>
      <c r="F44" s="49"/>
      <c r="G44" s="49"/>
      <c r="H44" s="131"/>
      <c r="I44" s="133"/>
      <c r="J44" s="127"/>
      <c r="K44" s="127"/>
      <c r="L44" s="127"/>
      <c r="M44" s="127"/>
      <c r="N44" s="127"/>
      <c r="O44" s="127"/>
      <c r="P44" s="127"/>
      <c r="Q44" s="121"/>
      <c r="R44" s="127"/>
      <c r="S44" s="128"/>
      <c r="T44" s="128"/>
      <c r="U44" s="7" t="s">
        <v>203</v>
      </c>
      <c r="V44" t="s">
        <v>204</v>
      </c>
      <c r="W44" s="131"/>
      <c r="X44" s="133"/>
    </row>
    <row r="45" spans="1:34" ht="45.75" x14ac:dyDescent="0.3">
      <c r="A45" s="2" t="s">
        <v>95</v>
      </c>
      <c r="B45" s="3" t="s">
        <v>215</v>
      </c>
      <c r="C45" t="s">
        <v>216</v>
      </c>
      <c r="D45" s="45"/>
      <c r="E45" s="5" t="s">
        <v>149</v>
      </c>
      <c r="F45" s="49"/>
      <c r="G45" s="49"/>
      <c r="H45" s="131"/>
      <c r="I45" s="133"/>
      <c r="J45" s="127"/>
      <c r="K45" s="50" t="s">
        <v>481</v>
      </c>
      <c r="L45" s="127"/>
      <c r="M45" s="127"/>
      <c r="N45" s="127"/>
      <c r="O45" s="127"/>
      <c r="P45" s="127"/>
      <c r="Q45" s="127"/>
      <c r="R45" s="127"/>
      <c r="S45" s="128"/>
      <c r="T45" s="128"/>
      <c r="U45" s="7" t="s">
        <v>215</v>
      </c>
      <c r="V45" t="s">
        <v>216</v>
      </c>
      <c r="W45" s="131"/>
      <c r="X45" s="133"/>
    </row>
    <row r="46" spans="1:34" ht="45.75" x14ac:dyDescent="0.3">
      <c r="A46" s="2" t="s">
        <v>95</v>
      </c>
      <c r="B46" s="3" t="s">
        <v>215</v>
      </c>
      <c r="C46" t="s">
        <v>186</v>
      </c>
      <c r="D46" s="45"/>
      <c r="E46" s="5" t="s">
        <v>245</v>
      </c>
      <c r="F46" s="49"/>
      <c r="G46" s="49"/>
      <c r="H46" s="131"/>
      <c r="I46" s="133"/>
      <c r="J46" s="127"/>
      <c r="K46" s="127"/>
      <c r="L46" s="127"/>
      <c r="M46" s="50" t="s">
        <v>482</v>
      </c>
      <c r="N46" s="127"/>
      <c r="O46" s="137"/>
      <c r="P46" s="137"/>
      <c r="Q46" s="121"/>
      <c r="R46" s="127"/>
      <c r="S46" s="128"/>
      <c r="T46" s="128"/>
      <c r="U46" s="7" t="s">
        <v>215</v>
      </c>
      <c r="V46" t="s">
        <v>186</v>
      </c>
      <c r="W46" s="46"/>
      <c r="X46" s="47"/>
    </row>
    <row r="47" spans="1:34" ht="45.75" x14ac:dyDescent="0.3">
      <c r="A47" s="2" t="s">
        <v>95</v>
      </c>
      <c r="B47" s="3" t="s">
        <v>104</v>
      </c>
      <c r="C47" t="s">
        <v>436</v>
      </c>
      <c r="D47" s="45"/>
      <c r="E47" s="5" t="s">
        <v>120</v>
      </c>
      <c r="F47" s="52"/>
      <c r="G47" s="49"/>
      <c r="H47" s="131"/>
      <c r="I47" s="133"/>
      <c r="J47" s="127"/>
      <c r="K47" s="127"/>
      <c r="L47" s="127"/>
      <c r="M47" s="127"/>
      <c r="N47" s="50" t="s">
        <v>483</v>
      </c>
      <c r="O47" s="127"/>
      <c r="P47" s="127"/>
      <c r="Q47" s="127"/>
      <c r="R47" s="127"/>
      <c r="S47" s="128"/>
      <c r="T47" s="128"/>
      <c r="U47" s="7" t="s">
        <v>189</v>
      </c>
      <c r="V47" t="s">
        <v>219</v>
      </c>
      <c r="W47" s="46"/>
      <c r="X47" s="47"/>
    </row>
    <row r="48" spans="1:34" ht="45.75" x14ac:dyDescent="0.3">
      <c r="A48" s="2" t="s">
        <v>95</v>
      </c>
      <c r="B48" s="3" t="s">
        <v>437</v>
      </c>
      <c r="C48" t="s">
        <v>438</v>
      </c>
      <c r="D48" s="45"/>
      <c r="E48" s="5" t="s">
        <v>101</v>
      </c>
      <c r="F48" s="49"/>
      <c r="G48" s="49"/>
      <c r="H48" s="46"/>
      <c r="I48" s="47"/>
      <c r="N48" s="51" t="s">
        <v>484</v>
      </c>
      <c r="U48" s="7"/>
      <c r="W48" s="46"/>
      <c r="X48" s="47"/>
    </row>
    <row r="49" spans="1:34" s="159" customFormat="1" x14ac:dyDescent="0.25">
      <c r="A49" s="157"/>
      <c r="B49" s="158"/>
      <c r="D49" s="157"/>
      <c r="E49" s="157"/>
      <c r="F49" s="157"/>
      <c r="G49" s="160" t="s">
        <v>359</v>
      </c>
      <c r="H49" s="157">
        <f>921+872</f>
        <v>1793</v>
      </c>
      <c r="I49" s="157">
        <f>647+682</f>
        <v>1329</v>
      </c>
      <c r="J49" s="161">
        <f>10</f>
        <v>10</v>
      </c>
      <c r="K49" s="161">
        <f>10</f>
        <v>10</v>
      </c>
      <c r="L49" s="161">
        <f>7</f>
        <v>7</v>
      </c>
      <c r="M49" s="161">
        <f>10</f>
        <v>10</v>
      </c>
      <c r="N49" s="157">
        <f>75.35+73.11</f>
        <v>148.45999999999998</v>
      </c>
      <c r="O49" s="157">
        <f>56.49</f>
        <v>56.49</v>
      </c>
      <c r="P49" s="161">
        <f>10+8</f>
        <v>18</v>
      </c>
      <c r="Q49" s="161">
        <v>0</v>
      </c>
      <c r="R49" s="157">
        <f>72.22+68.12</f>
        <v>140.34</v>
      </c>
      <c r="S49" s="159">
        <v>56.92</v>
      </c>
      <c r="T49" s="162" t="s">
        <v>449</v>
      </c>
      <c r="U49" s="158"/>
      <c r="W49" s="157">
        <f>779+721</f>
        <v>1500</v>
      </c>
      <c r="X49" s="157">
        <f>951+627</f>
        <v>1578</v>
      </c>
      <c r="Y49" s="165" t="s">
        <v>537</v>
      </c>
      <c r="Z49" s="163" t="s">
        <v>538</v>
      </c>
      <c r="AA49" s="165" t="s">
        <v>537</v>
      </c>
      <c r="AB49" s="163" t="s">
        <v>536</v>
      </c>
      <c r="AC49" s="163" t="s">
        <v>542</v>
      </c>
      <c r="AD49" s="163" t="s">
        <v>534</v>
      </c>
      <c r="AE49" s="165" t="s">
        <v>537</v>
      </c>
      <c r="AF49" s="165" t="s">
        <v>537</v>
      </c>
      <c r="AG49" s="163" t="s">
        <v>543</v>
      </c>
      <c r="AH49" s="165" t="s">
        <v>537</v>
      </c>
    </row>
    <row r="50" spans="1:34" x14ac:dyDescent="0.25">
      <c r="E50" s="2"/>
      <c r="G50" s="106" t="s">
        <v>358</v>
      </c>
      <c r="H50" s="2">
        <v>1</v>
      </c>
      <c r="I50" s="5" t="s">
        <v>509</v>
      </c>
      <c r="J50" s="2">
        <v>1</v>
      </c>
      <c r="K50" s="2">
        <v>1</v>
      </c>
      <c r="L50" s="2">
        <v>3</v>
      </c>
      <c r="M50" s="2">
        <v>1</v>
      </c>
      <c r="N50" s="2">
        <v>1</v>
      </c>
      <c r="O50" s="2">
        <v>2</v>
      </c>
      <c r="P50" s="2" t="s">
        <v>346</v>
      </c>
      <c r="Q50" s="2"/>
      <c r="R50" s="2">
        <v>1</v>
      </c>
      <c r="S50" s="2">
        <v>1</v>
      </c>
      <c r="T50" s="2">
        <v>1</v>
      </c>
      <c r="W50" s="2">
        <v>1</v>
      </c>
      <c r="X50" s="2">
        <v>1</v>
      </c>
      <c r="Y50" s="37"/>
      <c r="Z50" s="37">
        <v>1</v>
      </c>
      <c r="AA50" s="37"/>
      <c r="AB50" s="37">
        <v>1</v>
      </c>
      <c r="AC50" s="37">
        <v>1</v>
      </c>
      <c r="AD50" s="37">
        <v>1</v>
      </c>
      <c r="AE50" s="37"/>
      <c r="AF50" s="101"/>
      <c r="AG50" s="37">
        <v>1</v>
      </c>
    </row>
    <row r="51" spans="1:34" x14ac:dyDescent="0.25">
      <c r="E51" s="2"/>
      <c r="F51" s="2"/>
      <c r="G51" s="2"/>
      <c r="H51" s="2"/>
      <c r="I51" s="2"/>
      <c r="N51" s="2"/>
      <c r="O51" s="2"/>
      <c r="P51" s="2"/>
      <c r="Q51" s="2"/>
      <c r="R51" s="2"/>
      <c r="W51" s="2"/>
      <c r="X51" s="2"/>
      <c r="Y51" s="37"/>
      <c r="Z51" s="37"/>
      <c r="AA51" s="37"/>
      <c r="AB51" s="37"/>
      <c r="AC51" s="37"/>
      <c r="AD51" s="37"/>
      <c r="AE51" s="37"/>
      <c r="AF51" s="101"/>
      <c r="AG51" s="37"/>
    </row>
    <row r="52" spans="1:34" x14ac:dyDescent="0.25">
      <c r="H52" s="105" t="s">
        <v>349</v>
      </c>
      <c r="I52" s="105" t="s">
        <v>350</v>
      </c>
      <c r="S52" s="124" t="s">
        <v>402</v>
      </c>
      <c r="T52" s="138"/>
    </row>
    <row r="53" spans="1:34" x14ac:dyDescent="0.25">
      <c r="C53" s="102"/>
      <c r="D53" s="104" t="s">
        <v>337</v>
      </c>
      <c r="H53" s="5" t="s">
        <v>339</v>
      </c>
      <c r="I53" s="5" t="s">
        <v>351</v>
      </c>
      <c r="J53" s="148" t="s">
        <v>495</v>
      </c>
      <c r="K53" s="149" t="s">
        <v>498</v>
      </c>
      <c r="L53" s="150" t="s">
        <v>504</v>
      </c>
      <c r="M53" s="149" t="s">
        <v>507</v>
      </c>
      <c r="N53" s="140"/>
      <c r="O53" s="140"/>
      <c r="P53" s="148" t="s">
        <v>511</v>
      </c>
      <c r="Q53" s="150" t="s">
        <v>516</v>
      </c>
      <c r="R53" s="145"/>
      <c r="S53" s="149">
        <f>K53+M53+P53</f>
        <v>223.76</v>
      </c>
      <c r="T53" s="15" t="s">
        <v>35</v>
      </c>
    </row>
    <row r="54" spans="1:34" x14ac:dyDescent="0.25">
      <c r="C54" s="103"/>
      <c r="D54" s="104" t="s">
        <v>338</v>
      </c>
      <c r="H54" s="5" t="s">
        <v>340</v>
      </c>
      <c r="I54" s="5" t="s">
        <v>352</v>
      </c>
      <c r="J54" s="151" t="s">
        <v>496</v>
      </c>
      <c r="K54" s="150" t="s">
        <v>499</v>
      </c>
      <c r="L54" s="150" t="s">
        <v>505</v>
      </c>
      <c r="M54" s="150" t="s">
        <v>508</v>
      </c>
      <c r="N54" s="140"/>
      <c r="O54" s="140"/>
      <c r="P54" s="148" t="s">
        <v>512</v>
      </c>
      <c r="Q54" s="150" t="s">
        <v>517</v>
      </c>
      <c r="R54" s="145"/>
      <c r="S54" s="155">
        <f>K54+L53+Q53</f>
        <v>225.3</v>
      </c>
      <c r="T54" s="15" t="s">
        <v>37</v>
      </c>
    </row>
    <row r="55" spans="1:34" x14ac:dyDescent="0.25">
      <c r="C55" s="109"/>
      <c r="D55" s="2" t="s">
        <v>362</v>
      </c>
      <c r="H55" s="5" t="s">
        <v>341</v>
      </c>
      <c r="I55" s="5" t="s">
        <v>353</v>
      </c>
      <c r="J55" s="151" t="s">
        <v>497</v>
      </c>
      <c r="K55" s="150" t="s">
        <v>500</v>
      </c>
      <c r="L55" s="149" t="s">
        <v>506</v>
      </c>
      <c r="M55" s="152"/>
      <c r="N55" s="140"/>
      <c r="O55" s="140"/>
      <c r="P55" s="151" t="s">
        <v>513</v>
      </c>
      <c r="Q55" s="150" t="s">
        <v>518</v>
      </c>
      <c r="R55" s="145"/>
      <c r="S55" s="146"/>
    </row>
    <row r="56" spans="1:34" x14ac:dyDescent="0.25">
      <c r="H56" s="5" t="s">
        <v>342</v>
      </c>
      <c r="I56" s="5" t="s">
        <v>354</v>
      </c>
      <c r="J56" s="140"/>
      <c r="K56" s="151" t="s">
        <v>501</v>
      </c>
      <c r="L56" s="140"/>
      <c r="M56" s="153"/>
      <c r="N56" s="140"/>
      <c r="O56" s="140"/>
      <c r="P56" s="151" t="s">
        <v>514</v>
      </c>
      <c r="Q56" s="152"/>
      <c r="R56" s="145"/>
      <c r="S56" s="146"/>
    </row>
    <row r="57" spans="1:34" x14ac:dyDescent="0.25">
      <c r="H57" s="5" t="s">
        <v>343</v>
      </c>
      <c r="I57" s="5" t="s">
        <v>355</v>
      </c>
      <c r="J57" s="140"/>
      <c r="K57" s="154" t="s">
        <v>502</v>
      </c>
      <c r="L57" s="140"/>
      <c r="M57" s="153"/>
      <c r="N57" s="140"/>
      <c r="O57" s="140"/>
      <c r="P57" s="153"/>
      <c r="Q57" s="152"/>
      <c r="R57" s="145"/>
      <c r="S57" s="146"/>
    </row>
    <row r="58" spans="1:34" x14ac:dyDescent="0.25">
      <c r="H58" s="5" t="s">
        <v>344</v>
      </c>
      <c r="I58" s="5" t="s">
        <v>356</v>
      </c>
      <c r="J58" s="140"/>
      <c r="K58" s="153"/>
      <c r="L58" s="140"/>
      <c r="M58" s="140"/>
      <c r="N58" s="140"/>
      <c r="O58" s="140"/>
      <c r="P58" s="140"/>
      <c r="Q58" s="153"/>
    </row>
    <row r="59" spans="1:34" x14ac:dyDescent="0.25">
      <c r="H59" s="5" t="s">
        <v>345</v>
      </c>
      <c r="I59" s="5" t="s">
        <v>357</v>
      </c>
      <c r="J59" s="140"/>
      <c r="K59" s="140"/>
      <c r="L59" s="140"/>
      <c r="M59" s="140"/>
      <c r="N59" s="140"/>
      <c r="O59" s="140"/>
      <c r="P59" s="140"/>
      <c r="Q59" s="140"/>
    </row>
  </sheetData>
  <mergeCells count="4">
    <mergeCell ref="H2:S2"/>
    <mergeCell ref="W2:AH2"/>
    <mergeCell ref="H30:S30"/>
    <mergeCell ref="W30:AH30"/>
  </mergeCells>
  <pageMargins left="0.7" right="0.7" top="0.75" bottom="0.5" header="0.3" footer="0.3"/>
  <pageSetup scale="32" orientation="landscape" horizontalDpi="1200" verticalDpi="1200" r:id="rId1"/>
  <headerFooter>
    <oddHeader>&amp;C&amp;"Courier"&amp;12UNCLASSIFIED</oddHeader>
    <oddFooter>&amp;C&amp;"Courier"&amp;12UNCLASSIFIED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793F9-76E4-492C-98BA-4CDAF70BC028}">
  <sheetPr>
    <pageSetUpPr fitToPage="1"/>
  </sheetPr>
  <dimension ref="A1:AH27"/>
  <sheetViews>
    <sheetView workbookViewId="0">
      <selection sqref="A1:XFD1048576"/>
    </sheetView>
  </sheetViews>
  <sheetFormatPr defaultRowHeight="15" x14ac:dyDescent="0.25"/>
  <cols>
    <col min="2" max="3" width="9.140625" style="2"/>
    <col min="4" max="4" width="10.140625" style="2" customWidth="1"/>
    <col min="5" max="5" width="9.42578125" style="2" customWidth="1"/>
    <col min="6" max="6" width="10" style="2" customWidth="1"/>
    <col min="7" max="7" width="9.7109375" style="2" customWidth="1"/>
    <col min="8" max="9" width="9.140625" style="2"/>
    <col min="10" max="10" width="9.85546875" style="2" customWidth="1"/>
    <col min="11" max="11" width="10" style="2" customWidth="1"/>
    <col min="12" max="13" width="9.140625" style="2"/>
    <col min="14" max="14" width="12" style="2" customWidth="1"/>
    <col min="15" max="18" width="9.140625" style="2"/>
    <col min="19" max="19" width="11.85546875" style="2" customWidth="1"/>
    <col min="20" max="20" width="11" style="2" customWidth="1"/>
    <col min="21" max="34" width="9.140625" style="2"/>
  </cols>
  <sheetData>
    <row r="1" spans="1:34" ht="18.75" x14ac:dyDescent="0.25">
      <c r="A1" s="1" t="s">
        <v>386</v>
      </c>
    </row>
    <row r="3" spans="1:34" x14ac:dyDescent="0.25">
      <c r="A3" s="26"/>
      <c r="B3" s="173" t="s">
        <v>385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20"/>
      <c r="O3" s="8" t="s">
        <v>381</v>
      </c>
      <c r="P3" s="26"/>
      <c r="Q3" s="175" t="s">
        <v>384</v>
      </c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26"/>
      <c r="AG3" s="8" t="s">
        <v>383</v>
      </c>
      <c r="AH3" s="8" t="s">
        <v>382</v>
      </c>
    </row>
    <row r="4" spans="1:34" s="14" customFormat="1" x14ac:dyDescent="0.25">
      <c r="A4" s="26" t="s">
        <v>1</v>
      </c>
      <c r="B4" s="18" t="s">
        <v>12</v>
      </c>
      <c r="C4" s="12" t="s">
        <v>13</v>
      </c>
      <c r="D4" s="18" t="s">
        <v>47</v>
      </c>
      <c r="E4" s="4" t="s">
        <v>46</v>
      </c>
      <c r="F4" s="4" t="s">
        <v>45</v>
      </c>
      <c r="G4" s="4" t="s">
        <v>44</v>
      </c>
      <c r="H4" s="4" t="s">
        <v>16</v>
      </c>
      <c r="I4" s="4" t="s">
        <v>17</v>
      </c>
      <c r="J4" s="4" t="s">
        <v>43</v>
      </c>
      <c r="K4" s="4" t="s">
        <v>42</v>
      </c>
      <c r="L4" s="12" t="s">
        <v>19</v>
      </c>
      <c r="M4" s="8" t="s">
        <v>20</v>
      </c>
      <c r="N4" s="8" t="s">
        <v>402</v>
      </c>
      <c r="O4" s="8" t="s">
        <v>40</v>
      </c>
      <c r="P4" s="26" t="s">
        <v>1</v>
      </c>
      <c r="Q4" s="18" t="s">
        <v>21</v>
      </c>
      <c r="R4" s="12" t="s">
        <v>22</v>
      </c>
      <c r="S4" s="18" t="s">
        <v>400</v>
      </c>
      <c r="T4" s="18" t="s">
        <v>401</v>
      </c>
      <c r="U4" s="4" t="s">
        <v>23</v>
      </c>
      <c r="V4" s="4" t="s">
        <v>24</v>
      </c>
      <c r="W4" s="4" t="s">
        <v>25</v>
      </c>
      <c r="X4" s="4" t="s">
        <v>26</v>
      </c>
      <c r="Y4" s="4" t="s">
        <v>27</v>
      </c>
      <c r="Z4" s="4" t="s">
        <v>28</v>
      </c>
      <c r="AA4" s="4" t="s">
        <v>29</v>
      </c>
      <c r="AB4" s="4" t="s">
        <v>30</v>
      </c>
      <c r="AC4" s="4" t="s">
        <v>31</v>
      </c>
      <c r="AD4" s="4" t="s">
        <v>32</v>
      </c>
      <c r="AE4" s="8" t="s">
        <v>33</v>
      </c>
      <c r="AF4" s="26" t="s">
        <v>1</v>
      </c>
      <c r="AG4" s="8" t="s">
        <v>40</v>
      </c>
      <c r="AH4" s="8" t="s">
        <v>40</v>
      </c>
    </row>
    <row r="5" spans="1:34" s="23" customFormat="1" x14ac:dyDescent="0.25">
      <c r="A5" s="27"/>
      <c r="B5" s="20"/>
      <c r="C5" s="20"/>
      <c r="D5" s="20"/>
      <c r="E5" s="21"/>
      <c r="F5" s="21"/>
      <c r="G5" s="21"/>
      <c r="H5" s="21"/>
      <c r="I5" s="21"/>
      <c r="J5" s="21"/>
      <c r="K5" s="21"/>
      <c r="L5" s="20"/>
      <c r="M5" s="19"/>
      <c r="N5" s="19"/>
      <c r="O5" s="19"/>
      <c r="P5" s="27"/>
      <c r="Q5" s="20"/>
      <c r="R5" s="20"/>
      <c r="S5" s="20"/>
      <c r="T5" s="20"/>
      <c r="U5" s="21"/>
      <c r="V5" s="21"/>
      <c r="W5" s="21"/>
      <c r="X5" s="21"/>
      <c r="Y5" s="21"/>
      <c r="Z5" s="21"/>
      <c r="AA5" s="21"/>
      <c r="AB5" s="21"/>
      <c r="AC5" s="21"/>
      <c r="AD5" s="21"/>
      <c r="AE5" s="19"/>
      <c r="AF5" s="27"/>
      <c r="AG5" s="19"/>
      <c r="AH5" s="8"/>
    </row>
    <row r="6" spans="1:34" s="16" customFormat="1" x14ac:dyDescent="0.25">
      <c r="A6" s="28" t="s">
        <v>35</v>
      </c>
      <c r="B6" s="39">
        <v>1648</v>
      </c>
      <c r="C6" s="39">
        <v>1126</v>
      </c>
      <c r="D6" s="39"/>
      <c r="E6" s="39"/>
      <c r="F6" s="39"/>
      <c r="G6" s="39"/>
      <c r="H6" s="39">
        <v>121.46</v>
      </c>
      <c r="I6" s="39"/>
      <c r="J6" s="39"/>
      <c r="K6" s="39"/>
      <c r="L6" s="39">
        <v>113.88</v>
      </c>
      <c r="M6" s="39">
        <v>57.08</v>
      </c>
      <c r="N6" s="39">
        <v>262.72000000000003</v>
      </c>
      <c r="O6" s="22"/>
      <c r="P6" s="28" t="s">
        <v>35</v>
      </c>
      <c r="Q6" s="17">
        <v>1500</v>
      </c>
      <c r="R6" s="17">
        <v>1389</v>
      </c>
      <c r="S6" s="17">
        <f>C6+Q6</f>
        <v>2626</v>
      </c>
      <c r="T6" s="17">
        <f>B6+R6</f>
        <v>3037</v>
      </c>
      <c r="U6" s="115" t="s">
        <v>372</v>
      </c>
      <c r="V6" s="17"/>
      <c r="W6" s="115" t="s">
        <v>373</v>
      </c>
      <c r="X6" s="115" t="s">
        <v>376</v>
      </c>
      <c r="Y6" s="17"/>
      <c r="Z6" s="115" t="s">
        <v>377</v>
      </c>
      <c r="AA6" s="37"/>
      <c r="AB6" s="36"/>
      <c r="AC6" s="36"/>
      <c r="AD6" s="36"/>
      <c r="AE6" s="36"/>
      <c r="AF6" s="28" t="s">
        <v>35</v>
      </c>
      <c r="AG6" s="22"/>
      <c r="AH6" s="10"/>
    </row>
    <row r="7" spans="1:34" s="16" customFormat="1" x14ac:dyDescent="0.25">
      <c r="A7" s="38" t="s">
        <v>50</v>
      </c>
      <c r="B7" s="17">
        <v>1</v>
      </c>
      <c r="C7" s="17">
        <v>2</v>
      </c>
      <c r="D7" s="17">
        <v>1</v>
      </c>
      <c r="E7" s="17" t="s">
        <v>363</v>
      </c>
      <c r="F7" s="17" t="s">
        <v>346</v>
      </c>
      <c r="G7" s="17">
        <v>1</v>
      </c>
      <c r="H7" s="17">
        <v>2</v>
      </c>
      <c r="I7" s="17"/>
      <c r="J7" s="17" t="s">
        <v>347</v>
      </c>
      <c r="K7" s="17" t="s">
        <v>393</v>
      </c>
      <c r="L7" s="17">
        <v>2</v>
      </c>
      <c r="M7" s="17">
        <v>1</v>
      </c>
      <c r="N7" s="17">
        <v>1</v>
      </c>
      <c r="O7" s="22"/>
      <c r="P7" s="38" t="s">
        <v>50</v>
      </c>
      <c r="Q7" s="17">
        <v>1</v>
      </c>
      <c r="R7" s="17">
        <v>1</v>
      </c>
      <c r="S7" s="17">
        <v>1</v>
      </c>
      <c r="T7" s="17">
        <v>1</v>
      </c>
      <c r="U7" s="17">
        <v>2</v>
      </c>
      <c r="V7" s="17"/>
      <c r="W7" s="17">
        <v>1</v>
      </c>
      <c r="X7" s="17">
        <v>2</v>
      </c>
      <c r="Y7" s="17"/>
      <c r="Z7" s="17">
        <v>1</v>
      </c>
      <c r="AA7" s="37"/>
      <c r="AB7" s="36"/>
      <c r="AC7" s="36"/>
      <c r="AD7" s="36"/>
      <c r="AE7" s="36"/>
      <c r="AF7" s="28"/>
      <c r="AG7" s="22"/>
      <c r="AH7" s="10"/>
    </row>
    <row r="8" spans="1:34" x14ac:dyDescent="0.25">
      <c r="A8" s="29" t="s">
        <v>36</v>
      </c>
      <c r="B8" s="24">
        <f>IF(B7=1,40,IF(B7=2,34,IF(B7=3,31,IF(B7=4,28,""))))</f>
        <v>40</v>
      </c>
      <c r="C8" s="24">
        <f>IF(C7=1,40,IF(C7=2,34,IF(C7=3,31,IF(C7=4,28,""))))</f>
        <v>34</v>
      </c>
      <c r="D8" s="24">
        <v>10</v>
      </c>
      <c r="E8" s="24">
        <v>15</v>
      </c>
      <c r="F8" s="24">
        <v>18</v>
      </c>
      <c r="G8" s="24">
        <v>10</v>
      </c>
      <c r="H8" s="24">
        <f t="shared" ref="H8:I8" si="0">IF(H7=1,40,IF(H7=2,34,IF(H7=3,31,IF(H7=4,28,""))))</f>
        <v>34</v>
      </c>
      <c r="I8" s="24" t="str">
        <f t="shared" si="0"/>
        <v/>
      </c>
      <c r="J8" s="24">
        <v>24</v>
      </c>
      <c r="K8" s="24">
        <v>17</v>
      </c>
      <c r="L8" s="24">
        <f>IF(L7=1,40,IF(L7=2,34,IF(L7=3,31,IF(L7=4,28,""))))</f>
        <v>34</v>
      </c>
      <c r="M8" s="24">
        <f>IF(M7=1,40,IF(M7=2,34,IF(M7=3,31,IF(M7=4,28,""))))</f>
        <v>40</v>
      </c>
      <c r="N8" s="24">
        <f>IF(N7=1,40,IF(N7=2,34,IF(N7=3,31,IF(N7=4,28,""))))</f>
        <v>40</v>
      </c>
      <c r="O8" s="22">
        <f>SUM(B8:M8)</f>
        <v>276</v>
      </c>
      <c r="P8" s="29" t="s">
        <v>36</v>
      </c>
      <c r="Q8" s="24">
        <f t="shared" ref="Q8:AE8" si="1">IF(Q7=1,40,IF(Q7=2,34,IF(Q7=3,31,IF(Q7=4,28,""))))</f>
        <v>40</v>
      </c>
      <c r="R8" s="24">
        <f t="shared" si="1"/>
        <v>40</v>
      </c>
      <c r="S8" s="24">
        <f t="shared" si="1"/>
        <v>40</v>
      </c>
      <c r="T8" s="24">
        <f t="shared" si="1"/>
        <v>40</v>
      </c>
      <c r="U8" s="24">
        <f t="shared" si="1"/>
        <v>34</v>
      </c>
      <c r="V8" s="24" t="str">
        <f t="shared" si="1"/>
        <v/>
      </c>
      <c r="W8" s="24">
        <f t="shared" si="1"/>
        <v>40</v>
      </c>
      <c r="X8" s="24">
        <f t="shared" si="1"/>
        <v>34</v>
      </c>
      <c r="Y8" s="24" t="str">
        <f t="shared" si="1"/>
        <v/>
      </c>
      <c r="Z8" s="24">
        <f t="shared" si="1"/>
        <v>40</v>
      </c>
      <c r="AA8" s="24" t="str">
        <f t="shared" si="1"/>
        <v/>
      </c>
      <c r="AB8" s="24" t="str">
        <f t="shared" si="1"/>
        <v/>
      </c>
      <c r="AC8" s="24" t="str">
        <f t="shared" si="1"/>
        <v/>
      </c>
      <c r="AD8" s="24" t="str">
        <f t="shared" si="1"/>
        <v/>
      </c>
      <c r="AE8" s="24" t="str">
        <f t="shared" si="1"/>
        <v/>
      </c>
      <c r="AF8" s="32" t="s">
        <v>36</v>
      </c>
      <c r="AG8" s="22">
        <f>SUM(Q8:AE8)</f>
        <v>308</v>
      </c>
      <c r="AH8" s="10">
        <f>SUM(B8:N8)+SUM(Q8:AE8)</f>
        <v>624</v>
      </c>
    </row>
    <row r="9" spans="1:34" s="23" customFormat="1" x14ac:dyDescent="0.25">
      <c r="A9" s="30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  <c r="P9" s="30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33"/>
      <c r="AG9" s="116"/>
      <c r="AH9" s="117"/>
    </row>
    <row r="10" spans="1:34" s="16" customFormat="1" x14ac:dyDescent="0.25">
      <c r="A10" s="28" t="s">
        <v>37</v>
      </c>
      <c r="B10" s="39">
        <v>754</v>
      </c>
      <c r="C10" s="39">
        <v>1166</v>
      </c>
      <c r="D10" s="39"/>
      <c r="E10" s="39"/>
      <c r="F10" s="39"/>
      <c r="G10" s="39"/>
      <c r="H10" s="39">
        <v>145.41999999999999</v>
      </c>
      <c r="I10" s="39">
        <v>144.21</v>
      </c>
      <c r="J10" s="39"/>
      <c r="K10" s="39"/>
      <c r="L10" s="39">
        <v>122.44</v>
      </c>
      <c r="M10" s="39">
        <v>65.239999999999995</v>
      </c>
      <c r="N10" s="39">
        <v>231.19</v>
      </c>
      <c r="O10" s="22"/>
      <c r="P10" s="28" t="s">
        <v>37</v>
      </c>
      <c r="Q10" s="17">
        <v>1166</v>
      </c>
      <c r="R10" s="17">
        <v>592</v>
      </c>
      <c r="S10" s="17">
        <f>C10+Q10</f>
        <v>2332</v>
      </c>
      <c r="T10" s="17">
        <f>B10+R10</f>
        <v>1346</v>
      </c>
      <c r="U10" s="115" t="s">
        <v>371</v>
      </c>
      <c r="V10" s="36"/>
      <c r="W10" s="115" t="s">
        <v>374</v>
      </c>
      <c r="X10" s="115" t="s">
        <v>375</v>
      </c>
      <c r="Y10" s="36"/>
      <c r="Z10" s="115" t="s">
        <v>378</v>
      </c>
      <c r="AA10" s="36"/>
      <c r="AB10" s="17" t="s">
        <v>379</v>
      </c>
      <c r="AC10" s="115" t="s">
        <v>380</v>
      </c>
      <c r="AD10" s="114">
        <v>7.8680555555555546E-4</v>
      </c>
      <c r="AE10" s="36"/>
      <c r="AF10" s="34" t="s">
        <v>37</v>
      </c>
      <c r="AG10" s="22"/>
      <c r="AH10" s="10"/>
    </row>
    <row r="11" spans="1:34" s="16" customFormat="1" x14ac:dyDescent="0.25">
      <c r="A11" s="38" t="s">
        <v>50</v>
      </c>
      <c r="B11" s="17">
        <v>2</v>
      </c>
      <c r="C11" s="17">
        <v>1</v>
      </c>
      <c r="D11" s="17"/>
      <c r="E11" s="17" t="s">
        <v>361</v>
      </c>
      <c r="F11" s="17">
        <v>3</v>
      </c>
      <c r="G11" s="17" t="s">
        <v>361</v>
      </c>
      <c r="H11" s="17">
        <v>1</v>
      </c>
      <c r="I11" s="17">
        <v>1</v>
      </c>
      <c r="J11" s="17" t="s">
        <v>360</v>
      </c>
      <c r="K11" s="17" t="s">
        <v>394</v>
      </c>
      <c r="L11" s="17">
        <v>1</v>
      </c>
      <c r="M11" s="17">
        <v>2</v>
      </c>
      <c r="N11" s="17">
        <v>2</v>
      </c>
      <c r="O11" s="22"/>
      <c r="P11" s="38" t="s">
        <v>50</v>
      </c>
      <c r="Q11" s="17">
        <v>2</v>
      </c>
      <c r="R11" s="17">
        <v>2</v>
      </c>
      <c r="S11" s="17">
        <v>2</v>
      </c>
      <c r="T11" s="17">
        <v>2</v>
      </c>
      <c r="U11" s="17">
        <v>1</v>
      </c>
      <c r="V11" s="36"/>
      <c r="W11" s="17">
        <v>2</v>
      </c>
      <c r="X11" s="17">
        <v>1</v>
      </c>
      <c r="Y11" s="36"/>
      <c r="Z11" s="17">
        <v>2</v>
      </c>
      <c r="AA11" s="36"/>
      <c r="AB11" s="17">
        <v>1</v>
      </c>
      <c r="AC11" s="17">
        <v>1</v>
      </c>
      <c r="AD11" s="17">
        <v>1</v>
      </c>
      <c r="AE11" s="36"/>
      <c r="AF11" s="34"/>
      <c r="AG11" s="22"/>
      <c r="AH11" s="10"/>
    </row>
    <row r="12" spans="1:34" x14ac:dyDescent="0.25">
      <c r="A12" s="29" t="s">
        <v>36</v>
      </c>
      <c r="B12" s="24">
        <f>IF(B11=1,40,IF(B11=2,34,IF(B11=3,31,IF(B11=4,28,""))))</f>
        <v>34</v>
      </c>
      <c r="C12" s="24">
        <f>IF(C11=1,40,IF(C11=2,34,IF(C11=3,31,IF(C11=4,28,""))))</f>
        <v>40</v>
      </c>
      <c r="D12" s="24" t="str">
        <f>IF(D11=1,10,IF(D11=2,8,IF(D11=3,7,IF(D11=4,6,""))))</f>
        <v/>
      </c>
      <c r="E12" s="24">
        <v>21</v>
      </c>
      <c r="F12" s="24">
        <v>7</v>
      </c>
      <c r="G12" s="24">
        <v>21</v>
      </c>
      <c r="H12" s="24">
        <f t="shared" ref="H12:I12" si="2">IF(H11=1,40,IF(H11=2,34,IF(H11=3,31,IF(H11=4,28,""))))</f>
        <v>40</v>
      </c>
      <c r="I12" s="24">
        <f t="shared" si="2"/>
        <v>40</v>
      </c>
      <c r="J12" s="24">
        <v>12</v>
      </c>
      <c r="K12" s="24">
        <v>19</v>
      </c>
      <c r="L12" s="24">
        <f>IF(L11=1,40,IF(L11=2,34,IF(L11=3,31,IF(L11=4,28,""))))</f>
        <v>40</v>
      </c>
      <c r="M12" s="24">
        <f>IF(M11=1,40,IF(M11=2,34,IF(M11=3,31,IF(M11=4,28,""))))</f>
        <v>34</v>
      </c>
      <c r="N12" s="24">
        <f>IF(N11=1,40,IF(N11=2,34,IF(N11=3,31,IF(N11=4,28,""))))</f>
        <v>34</v>
      </c>
      <c r="O12" s="22">
        <f>SUM(B12:M12)</f>
        <v>308</v>
      </c>
      <c r="P12" s="29" t="s">
        <v>36</v>
      </c>
      <c r="Q12" s="24">
        <f t="shared" ref="Q12:AE12" si="3">IF(Q11=1,40,IF(Q11=2,34,IF(Q11=3,31,IF(Q11=4,28,""))))</f>
        <v>34</v>
      </c>
      <c r="R12" s="24">
        <f t="shared" si="3"/>
        <v>34</v>
      </c>
      <c r="S12" s="24">
        <f t="shared" si="3"/>
        <v>34</v>
      </c>
      <c r="T12" s="24">
        <f t="shared" si="3"/>
        <v>34</v>
      </c>
      <c r="U12" s="24">
        <f t="shared" si="3"/>
        <v>40</v>
      </c>
      <c r="V12" s="24" t="str">
        <f t="shared" si="3"/>
        <v/>
      </c>
      <c r="W12" s="24">
        <f t="shared" si="3"/>
        <v>34</v>
      </c>
      <c r="X12" s="24">
        <f t="shared" si="3"/>
        <v>40</v>
      </c>
      <c r="Y12" s="24" t="str">
        <f t="shared" si="3"/>
        <v/>
      </c>
      <c r="Z12" s="24">
        <f t="shared" si="3"/>
        <v>34</v>
      </c>
      <c r="AA12" s="24" t="str">
        <f t="shared" si="3"/>
        <v/>
      </c>
      <c r="AB12" s="24">
        <f t="shared" si="3"/>
        <v>40</v>
      </c>
      <c r="AC12" s="24">
        <f t="shared" si="3"/>
        <v>40</v>
      </c>
      <c r="AD12" s="24">
        <f t="shared" si="3"/>
        <v>40</v>
      </c>
      <c r="AE12" s="24" t="str">
        <f t="shared" si="3"/>
        <v/>
      </c>
      <c r="AF12" s="32" t="s">
        <v>36</v>
      </c>
      <c r="AG12" s="22">
        <f>SUM(Q12:AE12)</f>
        <v>404</v>
      </c>
      <c r="AH12" s="10">
        <f>SUM(B12:N12)+SUM(Q12:AE12)</f>
        <v>746</v>
      </c>
    </row>
    <row r="13" spans="1:34" s="23" customFormat="1" x14ac:dyDescent="0.25">
      <c r="A13" s="30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  <c r="P13" s="30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33"/>
      <c r="AG13" s="116"/>
      <c r="AH13" s="117"/>
    </row>
    <row r="14" spans="1:34" s="16" customFormat="1" x14ac:dyDescent="0.25">
      <c r="A14" s="28" t="s">
        <v>38</v>
      </c>
      <c r="B14" s="39">
        <v>797</v>
      </c>
      <c r="C14" s="39"/>
      <c r="D14" s="39"/>
      <c r="E14" s="39"/>
      <c r="F14" s="39"/>
      <c r="G14" s="39"/>
      <c r="H14" s="39">
        <v>64.67</v>
      </c>
      <c r="I14" s="39"/>
      <c r="J14" s="39"/>
      <c r="K14" s="39"/>
      <c r="L14" s="39"/>
      <c r="M14" s="39"/>
      <c r="N14" s="39"/>
      <c r="O14" s="22"/>
      <c r="P14" s="28" t="s">
        <v>38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36"/>
      <c r="AB14" s="17" t="s">
        <v>379</v>
      </c>
      <c r="AC14" s="36"/>
      <c r="AD14" s="36"/>
      <c r="AE14" s="36"/>
      <c r="AF14" s="34" t="s">
        <v>38</v>
      </c>
      <c r="AG14" s="22"/>
      <c r="AH14" s="10"/>
    </row>
    <row r="15" spans="1:34" s="16" customFormat="1" x14ac:dyDescent="0.25">
      <c r="A15" s="38" t="s">
        <v>50</v>
      </c>
      <c r="B15" s="17">
        <v>3</v>
      </c>
      <c r="C15" s="17"/>
      <c r="D15" s="17"/>
      <c r="E15" s="17"/>
      <c r="F15" s="17"/>
      <c r="G15" s="17"/>
      <c r="H15" s="17">
        <v>3</v>
      </c>
      <c r="I15" s="17"/>
      <c r="J15" s="17"/>
      <c r="K15" s="17"/>
      <c r="L15" s="17"/>
      <c r="M15" s="17"/>
      <c r="N15" s="17"/>
      <c r="O15" s="22"/>
      <c r="P15" s="38" t="s">
        <v>50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36"/>
      <c r="AB15" s="17">
        <v>2</v>
      </c>
      <c r="AC15" s="36"/>
      <c r="AD15" s="36"/>
      <c r="AE15" s="36"/>
      <c r="AF15" s="34"/>
      <c r="AG15" s="22"/>
      <c r="AH15" s="10"/>
    </row>
    <row r="16" spans="1:34" x14ac:dyDescent="0.25">
      <c r="A16" s="29" t="s">
        <v>36</v>
      </c>
      <c r="B16" s="24">
        <f>IF(B15=1,40,IF(B15=2,34,IF(B15=3,31,IF(B15=4,28,""))))</f>
        <v>31</v>
      </c>
      <c r="C16" s="24" t="str">
        <f>IF(C15=1,40,IF(C15=2,34,IF(C15=3,31,IF(C15=4,28,""))))</f>
        <v/>
      </c>
      <c r="D16" s="24" t="str">
        <f>IF(D15=1,10,IF(D15=2,8,IF(D15=3,7,IF(D15=4,6,""))))</f>
        <v/>
      </c>
      <c r="E16" s="24" t="str">
        <f>IF(E15=1,10,IF(E15=2,8,IF(E15=3,7,IF(E15=4,6,""))))</f>
        <v/>
      </c>
      <c r="F16" s="24" t="str">
        <f t="shared" ref="F16:G16" si="4">IF(F15=1,10,IF(F15=2,8,IF(F15=3,7,IF(F15=4,6,""))))</f>
        <v/>
      </c>
      <c r="G16" s="24" t="str">
        <f t="shared" si="4"/>
        <v/>
      </c>
      <c r="H16" s="24">
        <f t="shared" ref="H16:I16" si="5">IF(H15=1,40,IF(H15=2,34,IF(H15=3,31,IF(H15=4,28,""))))</f>
        <v>31</v>
      </c>
      <c r="I16" s="24" t="str">
        <f t="shared" si="5"/>
        <v/>
      </c>
      <c r="J16" s="24" t="str">
        <f t="shared" ref="J16:K16" si="6">IF(J15=1,10,IF(J15=2,8,IF(J15=3,7,IF(J15=4,6,""))))</f>
        <v/>
      </c>
      <c r="K16" s="24" t="str">
        <f t="shared" si="6"/>
        <v/>
      </c>
      <c r="L16" s="24" t="str">
        <f>IF(L15=1,40,IF(L15=2,34,IF(L15=3,31,IF(L15=4,28,""))))</f>
        <v/>
      </c>
      <c r="M16" s="24" t="str">
        <f>IF(M15=1,40,IF(M15=2,34,IF(M15=3,31,IF(M15=4,28,""))))</f>
        <v/>
      </c>
      <c r="N16" s="24" t="str">
        <f>IF(N15=1,40,IF(N15=2,34,IF(N15=3,31,IF(N15=4,28,""))))</f>
        <v/>
      </c>
      <c r="O16" s="22">
        <f>SUM(B16:M16)</f>
        <v>62</v>
      </c>
      <c r="P16" s="29" t="s">
        <v>36</v>
      </c>
      <c r="Q16" s="24" t="str">
        <f t="shared" ref="Q16:R16" si="7">IF(Q15=1,40,IF(Q15=2,34,IF(Q15=3,31,IF(Q15=4,28,""))))</f>
        <v/>
      </c>
      <c r="R16" s="24" t="str">
        <f t="shared" si="7"/>
        <v/>
      </c>
      <c r="S16" s="24"/>
      <c r="T16" s="24"/>
      <c r="U16" s="24" t="str">
        <f t="shared" ref="U16:AE16" si="8">IF(U15=1,40,IF(U15=2,34,IF(U15=3,31,IF(U15=4,28,""))))</f>
        <v/>
      </c>
      <c r="V16" s="24" t="str">
        <f t="shared" si="8"/>
        <v/>
      </c>
      <c r="W16" s="24" t="str">
        <f t="shared" si="8"/>
        <v/>
      </c>
      <c r="X16" s="24" t="str">
        <f t="shared" si="8"/>
        <v/>
      </c>
      <c r="Y16" s="24" t="str">
        <f t="shared" si="8"/>
        <v/>
      </c>
      <c r="Z16" s="24" t="str">
        <f t="shared" si="8"/>
        <v/>
      </c>
      <c r="AA16" s="24" t="str">
        <f t="shared" si="8"/>
        <v/>
      </c>
      <c r="AB16" s="24">
        <f t="shared" si="8"/>
        <v>34</v>
      </c>
      <c r="AC16" s="24" t="str">
        <f t="shared" si="8"/>
        <v/>
      </c>
      <c r="AD16" s="24" t="str">
        <f t="shared" si="8"/>
        <v/>
      </c>
      <c r="AE16" s="24" t="str">
        <f t="shared" si="8"/>
        <v/>
      </c>
      <c r="AF16" s="32" t="s">
        <v>36</v>
      </c>
      <c r="AG16" s="22">
        <f>SUM(Q16:AE16)</f>
        <v>34</v>
      </c>
      <c r="AH16" s="10">
        <f>SUM(B16:M16)+SUM(Q16:AE16)</f>
        <v>96</v>
      </c>
    </row>
    <row r="17" spans="1:34" s="23" customFormat="1" x14ac:dyDescent="0.25">
      <c r="A17" s="30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30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33"/>
      <c r="AG17" s="116"/>
      <c r="AH17" s="117"/>
    </row>
    <row r="18" spans="1:34" s="16" customFormat="1" x14ac:dyDescent="0.25">
      <c r="A18" s="28" t="s">
        <v>39</v>
      </c>
      <c r="B18" s="39">
        <v>902</v>
      </c>
      <c r="C18" s="39">
        <v>1299</v>
      </c>
      <c r="D18" s="39"/>
      <c r="E18" s="39"/>
      <c r="F18" s="39">
        <v>75.5</v>
      </c>
      <c r="G18" s="39">
        <v>256.38</v>
      </c>
      <c r="H18" s="39">
        <v>163.09</v>
      </c>
      <c r="I18" s="39">
        <v>166.2</v>
      </c>
      <c r="J18" s="39"/>
      <c r="K18" s="39"/>
      <c r="L18" s="39"/>
      <c r="M18" s="39"/>
      <c r="N18" s="39"/>
      <c r="O18" s="22"/>
      <c r="P18" s="28" t="s">
        <v>39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37"/>
      <c r="AB18" s="17"/>
      <c r="AC18" s="17"/>
      <c r="AD18" s="17"/>
      <c r="AE18" s="37"/>
      <c r="AF18" s="34" t="s">
        <v>39</v>
      </c>
      <c r="AG18" s="22"/>
      <c r="AH18" s="10"/>
    </row>
    <row r="19" spans="1:34" s="16" customFormat="1" x14ac:dyDescent="0.25">
      <c r="A19" s="38" t="s">
        <v>50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2"/>
      <c r="P19" s="38" t="s">
        <v>50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37"/>
      <c r="AB19" s="17"/>
      <c r="AC19" s="17"/>
      <c r="AD19" s="17"/>
      <c r="AE19" s="37"/>
      <c r="AF19" s="34"/>
      <c r="AG19" s="22"/>
      <c r="AH19" s="10"/>
    </row>
    <row r="20" spans="1:34" x14ac:dyDescent="0.25">
      <c r="A20" s="29" t="s">
        <v>36</v>
      </c>
      <c r="B20" s="24" t="str">
        <f>IF(B19=1,40,IF(B19=2,34,IF(B19=3,31,IF(B19=4,28,""))))</f>
        <v/>
      </c>
      <c r="C20" s="24" t="str">
        <f>IF(C19=1,40,IF(C19=2,34,IF(C19=3,31,IF(C19=4,28,""))))</f>
        <v/>
      </c>
      <c r="D20" s="24" t="str">
        <f>IF(D19=1,10,IF(D19=2,8,IF(D19=3,7,IF(D19=4,6,""))))</f>
        <v/>
      </c>
      <c r="E20" s="24" t="str">
        <f>IF(E19=1,10,IF(E19=2,8,IF(E19=3,7,IF(E19=4,6,""))))</f>
        <v/>
      </c>
      <c r="F20" s="24" t="str">
        <f t="shared" ref="F20:G20" si="9">IF(F19=1,10,IF(F19=2,8,IF(F19=3,7,IF(F19=4,6,""))))</f>
        <v/>
      </c>
      <c r="G20" s="24" t="str">
        <f t="shared" si="9"/>
        <v/>
      </c>
      <c r="H20" s="24" t="str">
        <f t="shared" ref="H20:I20" si="10">IF(H19=1,40,IF(H19=2,34,IF(H19=3,31,IF(H19=4,28,""))))</f>
        <v/>
      </c>
      <c r="I20" s="24" t="str">
        <f t="shared" si="10"/>
        <v/>
      </c>
      <c r="J20" s="24" t="str">
        <f t="shared" ref="J20:K20" si="11">IF(J19=1,10,IF(J19=2,8,IF(J19=3,7,IF(J19=4,6,""))))</f>
        <v/>
      </c>
      <c r="K20" s="24" t="str">
        <f t="shared" si="11"/>
        <v/>
      </c>
      <c r="L20" s="24" t="str">
        <f>IF(L19=1,40,IF(L19=2,34,IF(L19=3,31,IF(L19=4,28,""))))</f>
        <v/>
      </c>
      <c r="M20" s="24" t="str">
        <f>IF(M19=1,40,IF(M19=2,34,IF(M19=3,31,IF(M19=4,28,""))))</f>
        <v/>
      </c>
      <c r="N20" s="24" t="str">
        <f>IF(N19=1,40,IF(N19=2,34,IF(N19=3,31,IF(N19=4,28,""))))</f>
        <v/>
      </c>
      <c r="O20" s="22"/>
      <c r="P20" s="29" t="s">
        <v>36</v>
      </c>
      <c r="Q20" s="24" t="str">
        <f t="shared" ref="Q20:R20" si="12">IF(Q19=1,40,IF(Q19=2,34,IF(Q19=3,31,IF(Q19=4,28,""))))</f>
        <v/>
      </c>
      <c r="R20" s="24" t="str">
        <f t="shared" si="12"/>
        <v/>
      </c>
      <c r="S20" s="24"/>
      <c r="T20" s="24"/>
      <c r="U20" s="24" t="str">
        <f t="shared" ref="U20:AE20" si="13">IF(U19=1,40,IF(U19=2,34,IF(U19=3,31,IF(U19=4,28,""))))</f>
        <v/>
      </c>
      <c r="V20" s="24" t="str">
        <f t="shared" si="13"/>
        <v/>
      </c>
      <c r="W20" s="24" t="str">
        <f t="shared" si="13"/>
        <v/>
      </c>
      <c r="X20" s="24" t="str">
        <f t="shared" si="13"/>
        <v/>
      </c>
      <c r="Y20" s="24" t="str">
        <f t="shared" si="13"/>
        <v/>
      </c>
      <c r="Z20" s="24" t="str">
        <f t="shared" si="13"/>
        <v/>
      </c>
      <c r="AA20" s="24" t="str">
        <f t="shared" si="13"/>
        <v/>
      </c>
      <c r="AB20" s="24" t="str">
        <f t="shared" si="13"/>
        <v/>
      </c>
      <c r="AC20" s="24" t="str">
        <f t="shared" si="13"/>
        <v/>
      </c>
      <c r="AD20" s="24" t="str">
        <f t="shared" si="13"/>
        <v/>
      </c>
      <c r="AE20" s="24" t="str">
        <f t="shared" si="13"/>
        <v/>
      </c>
      <c r="AF20" s="32" t="s">
        <v>36</v>
      </c>
      <c r="AG20" s="22"/>
      <c r="AH20" s="10"/>
    </row>
    <row r="21" spans="1:34" s="23" customFormat="1" x14ac:dyDescent="0.25">
      <c r="A21" s="30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31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31"/>
      <c r="AG21" s="19"/>
      <c r="AH21" s="84"/>
    </row>
    <row r="22" spans="1:34" x14ac:dyDescent="0.25">
      <c r="A22" t="s">
        <v>348</v>
      </c>
    </row>
    <row r="23" spans="1:34" x14ac:dyDescent="0.25">
      <c r="A23" t="s">
        <v>391</v>
      </c>
    </row>
    <row r="24" spans="1:34" x14ac:dyDescent="0.25">
      <c r="A24" s="35" t="s">
        <v>41</v>
      </c>
      <c r="B24" s="36"/>
      <c r="C24" s="36"/>
      <c r="D24" s="37"/>
    </row>
    <row r="26" spans="1:34" x14ac:dyDescent="0.25">
      <c r="B26" s="3" t="s">
        <v>387</v>
      </c>
      <c r="C26" s="119" t="s">
        <v>390</v>
      </c>
    </row>
    <row r="27" spans="1:34" x14ac:dyDescent="0.25">
      <c r="B27" s="3" t="s">
        <v>388</v>
      </c>
      <c r="C27" s="119" t="s">
        <v>389</v>
      </c>
      <c r="L27" s="15" t="s">
        <v>392</v>
      </c>
    </row>
  </sheetData>
  <mergeCells count="2">
    <mergeCell ref="B3:M3"/>
    <mergeCell ref="Q3:AE3"/>
  </mergeCells>
  <hyperlinks>
    <hyperlink ref="C27" r:id="rId1" display="https://urldefense.com/v3/__https:/va.milesplit.com/meets/561492-2023-pvtc-mid-atlantic-corporate-relays-2023/results__;!!May37g!IG2l6hpg2eNbeytkAJIrhP-xG2eZYNd11pyjcIo0GoxA86bgRc24asTMR4aNNQkrolDYGaaokJMipDgO4caG_2ak$" xr:uid="{CD6E49EE-9623-46E3-B55B-E7AFFECCA015}"/>
    <hyperlink ref="C26" r:id="rId2" display="https://urldefense.com/v3/__https:/live.qwtiming.com/meets/26173__;!!May37g!IG2l6hpg2eNbeytkAJIrhP-xG2eZYNd11pyjcIo0GoxA86bgRc24asTMR4aNNQkrolDYGaaokJMipDgO4YhDk0Mh$" xr:uid="{A3BAED03-0771-4B0D-AED7-11B28FC882F5}"/>
  </hyperlinks>
  <pageMargins left="0.7" right="0.7" top="0.75" bottom="0.5" header="0.3" footer="0.3"/>
  <pageSetup scale="38" orientation="landscape" horizontalDpi="1200" verticalDpi="1200" r:id="rId3"/>
  <headerFooter>
    <oddHeader>&amp;C&amp;"Courier"&amp;12UNCLASSIFIED</oddHeader>
    <oddFooter>&amp;C&amp;"Courier"&amp;12UNCLASSIFIED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D2F0-FC38-4EEA-83A0-52CB0D6DE44F}">
  <dimension ref="A1:AH77"/>
  <sheetViews>
    <sheetView workbookViewId="0">
      <pane xSplit="5" ySplit="3" topLeftCell="F28" activePane="bottomRight" state="frozen"/>
      <selection pane="topRight" activeCell="F1" sqref="F1"/>
      <selection pane="bottomLeft" activeCell="A4" sqref="A4"/>
      <selection pane="bottomRight" activeCell="S32" sqref="S32"/>
    </sheetView>
  </sheetViews>
  <sheetFormatPr defaultRowHeight="15" x14ac:dyDescent="0.25"/>
  <cols>
    <col min="1" max="1" width="9.140625" style="2"/>
    <col min="2" max="2" width="12.140625" style="3" customWidth="1"/>
    <col min="3" max="3" width="12.42578125" customWidth="1"/>
    <col min="4" max="4" width="12" style="2" customWidth="1"/>
    <col min="5" max="5" width="5.7109375" style="5" customWidth="1"/>
    <col min="6" max="7" width="4.7109375" style="5" customWidth="1"/>
    <col min="8" max="8" width="7.140625" style="5" customWidth="1"/>
    <col min="9" max="9" width="7.5703125" style="5" customWidth="1"/>
    <col min="10" max="11" width="9.140625" style="5"/>
    <col min="12" max="13" width="11.7109375" style="5" customWidth="1"/>
    <col min="14" max="18" width="9.140625" style="5"/>
    <col min="20" max="20" width="12.140625" style="3" customWidth="1"/>
    <col min="21" max="21" width="12.42578125" customWidth="1"/>
    <col min="22" max="22" width="7.28515625" style="5" customWidth="1"/>
    <col min="23" max="23" width="7.42578125" style="5" customWidth="1"/>
    <col min="24" max="24" width="9.140625" style="5"/>
    <col min="25" max="25" width="9.42578125" style="5" customWidth="1"/>
    <col min="26" max="30" width="9.140625" style="5"/>
    <col min="31" max="31" width="9.5703125" style="5" customWidth="1"/>
    <col min="32" max="32" width="9.140625" style="5"/>
    <col min="33" max="33" width="9.7109375" style="5" customWidth="1"/>
    <col min="34" max="34" width="9.85546875" customWidth="1"/>
  </cols>
  <sheetData>
    <row r="1" spans="1:34" s="44" customFormat="1" ht="18.75" x14ac:dyDescent="0.3">
      <c r="A1" s="96" t="s">
        <v>0</v>
      </c>
      <c r="B1" s="97"/>
      <c r="C1" s="98"/>
      <c r="D1" s="42"/>
      <c r="E1" s="43"/>
      <c r="F1" s="43"/>
      <c r="G1" s="43"/>
      <c r="H1" s="5" t="s">
        <v>52</v>
      </c>
      <c r="I1" s="5" t="s">
        <v>52</v>
      </c>
      <c r="J1" s="5"/>
      <c r="K1" s="5"/>
      <c r="L1" s="5"/>
      <c r="M1" s="5"/>
      <c r="N1" s="5"/>
      <c r="O1" s="5"/>
      <c r="P1" s="5"/>
      <c r="Q1" s="5"/>
      <c r="R1" s="5"/>
      <c r="S1" s="5" t="s">
        <v>53</v>
      </c>
      <c r="T1" s="5"/>
      <c r="U1" s="5"/>
      <c r="V1" s="5" t="s">
        <v>54</v>
      </c>
      <c r="W1" s="5" t="s">
        <v>54</v>
      </c>
      <c r="X1" s="5" t="s">
        <v>55</v>
      </c>
      <c r="Y1" s="5" t="s">
        <v>56</v>
      </c>
      <c r="Z1" s="5" t="s">
        <v>57</v>
      </c>
      <c r="AA1" s="5" t="s">
        <v>58</v>
      </c>
      <c r="AB1" s="5" t="s">
        <v>59</v>
      </c>
      <c r="AC1" s="5" t="s">
        <v>60</v>
      </c>
      <c r="AD1" s="5" t="s">
        <v>61</v>
      </c>
      <c r="AE1" s="5" t="s">
        <v>62</v>
      </c>
      <c r="AF1" s="5" t="s">
        <v>63</v>
      </c>
      <c r="AG1" s="5" t="s">
        <v>64</v>
      </c>
      <c r="AH1" s="5" t="s">
        <v>65</v>
      </c>
    </row>
    <row r="2" spans="1:34" x14ac:dyDescent="0.25">
      <c r="E2" s="4" t="s">
        <v>2</v>
      </c>
      <c r="H2" s="177" t="s">
        <v>3</v>
      </c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7"/>
      <c r="V2" s="178" t="s">
        <v>4</v>
      </c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</row>
    <row r="3" spans="1:34" s="14" customFormat="1" x14ac:dyDescent="0.25">
      <c r="A3" s="8" t="s">
        <v>5</v>
      </c>
      <c r="B3" s="9" t="s">
        <v>6</v>
      </c>
      <c r="C3" s="10" t="s">
        <v>7</v>
      </c>
      <c r="D3" s="8" t="s">
        <v>8</v>
      </c>
      <c r="E3" s="4" t="s">
        <v>9</v>
      </c>
      <c r="F3" s="4" t="s">
        <v>10</v>
      </c>
      <c r="G3" s="4" t="s">
        <v>11</v>
      </c>
      <c r="H3" s="11" t="s">
        <v>12</v>
      </c>
      <c r="I3" s="12" t="s">
        <v>13</v>
      </c>
      <c r="J3" s="4" t="s">
        <v>406</v>
      </c>
      <c r="K3" s="4" t="s">
        <v>407</v>
      </c>
      <c r="L3" s="4" t="s">
        <v>408</v>
      </c>
      <c r="M3" s="4" t="s">
        <v>409</v>
      </c>
      <c r="N3" s="4" t="s">
        <v>16</v>
      </c>
      <c r="O3" s="4" t="s">
        <v>17</v>
      </c>
      <c r="P3" s="4" t="s">
        <v>410</v>
      </c>
      <c r="Q3" s="4" t="s">
        <v>411</v>
      </c>
      <c r="R3" s="12" t="s">
        <v>19</v>
      </c>
      <c r="S3" s="8" t="s">
        <v>20</v>
      </c>
      <c r="T3" s="13" t="s">
        <v>6</v>
      </c>
      <c r="U3" s="10" t="s">
        <v>7</v>
      </c>
      <c r="V3" s="11" t="s">
        <v>21</v>
      </c>
      <c r="W3" s="12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10" t="s">
        <v>33</v>
      </c>
    </row>
    <row r="4" spans="1:34" x14ac:dyDescent="0.25">
      <c r="A4" s="2" t="s">
        <v>66</v>
      </c>
      <c r="B4" s="3" t="s">
        <v>67</v>
      </c>
      <c r="C4" t="s">
        <v>68</v>
      </c>
      <c r="D4" s="45">
        <v>36535</v>
      </c>
      <c r="E4" s="5" t="s">
        <v>69</v>
      </c>
      <c r="H4" s="46"/>
      <c r="I4" s="47"/>
      <c r="T4" s="7" t="s">
        <v>67</v>
      </c>
      <c r="U4" t="s">
        <v>68</v>
      </c>
      <c r="V4" s="46"/>
      <c r="W4" s="47"/>
    </row>
    <row r="5" spans="1:34" ht="45.75" x14ac:dyDescent="0.3">
      <c r="A5" s="2" t="s">
        <v>66</v>
      </c>
      <c r="B5" s="3" t="s">
        <v>70</v>
      </c>
      <c r="C5" t="s">
        <v>71</v>
      </c>
      <c r="D5" s="45">
        <v>23550</v>
      </c>
      <c r="E5" s="5" t="s">
        <v>72</v>
      </c>
      <c r="F5" s="49" t="s">
        <v>73</v>
      </c>
      <c r="G5" s="49" t="s">
        <v>73</v>
      </c>
      <c r="H5" s="46"/>
      <c r="I5" s="47"/>
      <c r="P5" s="50" t="s">
        <v>74</v>
      </c>
      <c r="Q5" s="51"/>
      <c r="T5" s="7" t="s">
        <v>70</v>
      </c>
      <c r="U5" t="s">
        <v>71</v>
      </c>
      <c r="V5" s="76" t="s">
        <v>364</v>
      </c>
      <c r="W5" s="47"/>
    </row>
    <row r="6" spans="1:34" ht="45.75" x14ac:dyDescent="0.3">
      <c r="A6" s="2" t="s">
        <v>66</v>
      </c>
      <c r="B6" s="3" t="s">
        <v>75</v>
      </c>
      <c r="C6" t="s">
        <v>76</v>
      </c>
      <c r="D6" s="45">
        <v>34375</v>
      </c>
      <c r="E6" s="5" t="s">
        <v>77</v>
      </c>
      <c r="F6" s="49" t="s">
        <v>73</v>
      </c>
      <c r="G6" s="52" t="s">
        <v>78</v>
      </c>
      <c r="H6" s="46"/>
      <c r="I6" s="47"/>
      <c r="N6" s="50" t="s">
        <v>79</v>
      </c>
      <c r="R6" s="50" t="s">
        <v>80</v>
      </c>
      <c r="T6" s="7" t="s">
        <v>75</v>
      </c>
      <c r="U6" t="s">
        <v>76</v>
      </c>
      <c r="V6" s="46"/>
      <c r="W6" s="47"/>
    </row>
    <row r="7" spans="1:34" ht="45.75" x14ac:dyDescent="0.3">
      <c r="A7" s="2" t="s">
        <v>66</v>
      </c>
      <c r="B7" s="3" t="s">
        <v>48</v>
      </c>
      <c r="C7" t="s">
        <v>49</v>
      </c>
      <c r="D7" s="45">
        <v>24137</v>
      </c>
      <c r="E7" s="5">
        <v>57</v>
      </c>
      <c r="F7" s="49" t="s">
        <v>73</v>
      </c>
      <c r="G7" s="49" t="s">
        <v>73</v>
      </c>
      <c r="H7" s="46"/>
      <c r="I7" s="47"/>
      <c r="L7" s="50" t="s">
        <v>81</v>
      </c>
      <c r="P7" s="50" t="s">
        <v>82</v>
      </c>
      <c r="Q7" s="51"/>
      <c r="T7" s="7" t="s">
        <v>48</v>
      </c>
      <c r="U7" t="s">
        <v>49</v>
      </c>
      <c r="V7" s="46"/>
      <c r="W7" s="47"/>
    </row>
    <row r="8" spans="1:34" ht="16.5" x14ac:dyDescent="0.3">
      <c r="A8" s="2" t="s">
        <v>66</v>
      </c>
      <c r="B8" s="3" t="s">
        <v>83</v>
      </c>
      <c r="C8" t="s">
        <v>84</v>
      </c>
      <c r="D8" s="45">
        <v>38050</v>
      </c>
      <c r="E8" s="5" t="s">
        <v>85</v>
      </c>
      <c r="F8" s="52" t="s">
        <v>78</v>
      </c>
      <c r="G8" s="49" t="s">
        <v>73</v>
      </c>
      <c r="H8" s="46"/>
      <c r="I8" s="47"/>
      <c r="T8" s="7" t="s">
        <v>83</v>
      </c>
      <c r="U8" t="s">
        <v>84</v>
      </c>
      <c r="V8" s="46"/>
      <c r="W8" s="47"/>
    </row>
    <row r="9" spans="1:34" ht="16.5" x14ac:dyDescent="0.3">
      <c r="A9" s="2" t="s">
        <v>66</v>
      </c>
      <c r="B9" s="3" t="s">
        <v>86</v>
      </c>
      <c r="C9" t="s">
        <v>84</v>
      </c>
      <c r="D9" s="45">
        <v>26411</v>
      </c>
      <c r="E9" s="5" t="s">
        <v>87</v>
      </c>
      <c r="F9" s="52" t="s">
        <v>78</v>
      </c>
      <c r="G9" s="49" t="s">
        <v>73</v>
      </c>
      <c r="H9" s="46"/>
      <c r="I9" s="47"/>
      <c r="T9" s="7" t="s">
        <v>86</v>
      </c>
      <c r="U9" t="s">
        <v>84</v>
      </c>
      <c r="V9" s="46"/>
      <c r="W9" s="47"/>
    </row>
    <row r="10" spans="1:34" s="55" customFormat="1" x14ac:dyDescent="0.25">
      <c r="A10" s="53" t="s">
        <v>66</v>
      </c>
      <c r="B10" s="54" t="s">
        <v>88</v>
      </c>
      <c r="C10" s="55" t="s">
        <v>89</v>
      </c>
      <c r="D10" s="45">
        <v>26879</v>
      </c>
      <c r="E10" s="56" t="s">
        <v>90</v>
      </c>
      <c r="F10" s="56"/>
      <c r="G10" s="56"/>
      <c r="H10" s="57"/>
      <c r="I10" s="58" t="s">
        <v>51</v>
      </c>
      <c r="J10" s="56"/>
      <c r="K10" s="56"/>
      <c r="L10" s="56"/>
      <c r="M10" s="56"/>
      <c r="N10" s="56"/>
      <c r="O10" s="56"/>
      <c r="P10" s="56"/>
      <c r="Q10" s="56"/>
      <c r="R10" s="56"/>
      <c r="T10" s="59" t="s">
        <v>88</v>
      </c>
      <c r="U10" s="55" t="s">
        <v>89</v>
      </c>
      <c r="V10" s="57"/>
      <c r="W10" s="58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4" s="63" customFormat="1" x14ac:dyDescent="0.25">
      <c r="A11" s="61" t="s">
        <v>66</v>
      </c>
      <c r="B11" s="62" t="s">
        <v>91</v>
      </c>
      <c r="C11" s="63" t="s">
        <v>92</v>
      </c>
      <c r="D11" s="61"/>
      <c r="E11" s="64"/>
      <c r="F11" s="64"/>
      <c r="G11" s="64"/>
      <c r="H11" s="65"/>
      <c r="I11" s="66"/>
      <c r="J11" s="64"/>
      <c r="K11" s="64"/>
      <c r="L11" s="64"/>
      <c r="M11" s="64"/>
      <c r="N11" s="64"/>
      <c r="O11" s="64"/>
      <c r="P11" s="64"/>
      <c r="Q11" s="64"/>
      <c r="R11" s="64"/>
      <c r="T11" s="67" t="s">
        <v>91</v>
      </c>
      <c r="U11" s="63" t="s">
        <v>92</v>
      </c>
      <c r="V11" s="65"/>
      <c r="W11" s="66"/>
      <c r="X11" s="64"/>
      <c r="Y11" s="64"/>
      <c r="Z11" s="64"/>
      <c r="AA11" s="64"/>
      <c r="AB11" s="64"/>
      <c r="AC11" s="64"/>
      <c r="AD11" s="64"/>
      <c r="AE11" s="64"/>
      <c r="AF11" s="64"/>
      <c r="AG11" s="64"/>
    </row>
    <row r="12" spans="1:34" s="63" customFormat="1" x14ac:dyDescent="0.25">
      <c r="A12" s="61" t="s">
        <v>66</v>
      </c>
      <c r="B12" s="62" t="s">
        <v>93</v>
      </c>
      <c r="C12" s="63" t="s">
        <v>94</v>
      </c>
      <c r="D12" s="61"/>
      <c r="E12" s="64"/>
      <c r="F12" s="64"/>
      <c r="G12" s="64"/>
      <c r="H12" s="65"/>
      <c r="I12" s="66"/>
      <c r="J12" s="64"/>
      <c r="K12" s="64"/>
      <c r="L12" s="64"/>
      <c r="M12" s="64"/>
      <c r="N12" s="64"/>
      <c r="O12" s="64"/>
      <c r="P12" s="64"/>
      <c r="Q12" s="64"/>
      <c r="R12" s="64"/>
      <c r="T12" s="67" t="s">
        <v>93</v>
      </c>
      <c r="U12" s="63" t="s">
        <v>94</v>
      </c>
      <c r="V12" s="65"/>
      <c r="W12" s="66"/>
      <c r="X12" s="64"/>
      <c r="Y12" s="64"/>
      <c r="Z12" s="64"/>
      <c r="AA12" s="64"/>
      <c r="AB12" s="64"/>
      <c r="AC12" s="64"/>
      <c r="AD12" s="64"/>
      <c r="AE12" s="64"/>
      <c r="AF12" s="64"/>
      <c r="AG12" s="64"/>
    </row>
    <row r="13" spans="1:34" x14ac:dyDescent="0.25">
      <c r="A13" s="24"/>
      <c r="B13" s="69"/>
      <c r="C13" s="23"/>
      <c r="D13" s="24"/>
      <c r="E13" s="70"/>
      <c r="F13" s="70"/>
      <c r="G13" s="70"/>
      <c r="H13" s="71"/>
      <c r="I13" s="72"/>
      <c r="J13" s="70"/>
      <c r="K13" s="70"/>
      <c r="L13" s="70"/>
      <c r="M13" s="70"/>
      <c r="N13" s="70"/>
      <c r="O13" s="70"/>
      <c r="P13" s="70"/>
      <c r="Q13" s="70"/>
      <c r="R13" s="70"/>
      <c r="S13" s="23"/>
      <c r="T13" s="73"/>
      <c r="U13" s="23"/>
      <c r="V13" s="71"/>
      <c r="W13" s="72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23"/>
    </row>
    <row r="14" spans="1:34" x14ac:dyDescent="0.25">
      <c r="A14" s="2" t="s">
        <v>95</v>
      </c>
      <c r="B14" s="3" t="s">
        <v>96</v>
      </c>
      <c r="C14" t="s">
        <v>97</v>
      </c>
      <c r="D14" s="45">
        <v>30235</v>
      </c>
      <c r="E14" s="5" t="s">
        <v>98</v>
      </c>
      <c r="H14" s="46"/>
      <c r="I14" s="47"/>
      <c r="T14" s="7" t="s">
        <v>96</v>
      </c>
      <c r="U14" t="s">
        <v>97</v>
      </c>
      <c r="V14" s="46"/>
      <c r="W14" s="47"/>
    </row>
    <row r="15" spans="1:34" ht="45.75" x14ac:dyDescent="0.3">
      <c r="A15" s="2" t="s">
        <v>95</v>
      </c>
      <c r="B15" s="3" t="s">
        <v>99</v>
      </c>
      <c r="C15" t="s">
        <v>100</v>
      </c>
      <c r="D15" s="45">
        <v>24103</v>
      </c>
      <c r="E15" s="5" t="s">
        <v>101</v>
      </c>
      <c r="F15" s="49" t="s">
        <v>73</v>
      </c>
      <c r="G15" s="49" t="s">
        <v>73</v>
      </c>
      <c r="H15" s="46"/>
      <c r="I15" s="47"/>
      <c r="N15" s="50" t="s">
        <v>102</v>
      </c>
      <c r="O15" s="50" t="s">
        <v>103</v>
      </c>
      <c r="T15" s="7" t="s">
        <v>99</v>
      </c>
      <c r="U15" t="s">
        <v>100</v>
      </c>
      <c r="V15" s="46"/>
      <c r="W15" s="47"/>
    </row>
    <row r="16" spans="1:34" ht="45.75" x14ac:dyDescent="0.3">
      <c r="A16" s="2" t="s">
        <v>95</v>
      </c>
      <c r="B16" s="3" t="s">
        <v>104</v>
      </c>
      <c r="C16" t="s">
        <v>105</v>
      </c>
      <c r="D16" s="45">
        <v>24453</v>
      </c>
      <c r="E16" s="5" t="s">
        <v>101</v>
      </c>
      <c r="F16" s="49" t="s">
        <v>73</v>
      </c>
      <c r="G16" s="49" t="s">
        <v>73</v>
      </c>
      <c r="H16" s="46"/>
      <c r="I16" s="47"/>
      <c r="K16" s="50" t="s">
        <v>106</v>
      </c>
      <c r="Q16" s="50" t="s">
        <v>107</v>
      </c>
      <c r="T16" s="7" t="s">
        <v>104</v>
      </c>
      <c r="U16" t="s">
        <v>105</v>
      </c>
      <c r="V16" s="46"/>
      <c r="W16" s="47"/>
    </row>
    <row r="17" spans="1:34" ht="45.75" x14ac:dyDescent="0.3">
      <c r="A17" s="2" t="s">
        <v>95</v>
      </c>
      <c r="B17" s="3" t="s">
        <v>108</v>
      </c>
      <c r="C17" t="s">
        <v>109</v>
      </c>
      <c r="D17" s="45">
        <v>30501</v>
      </c>
      <c r="E17" s="5" t="s">
        <v>110</v>
      </c>
      <c r="F17" s="49" t="s">
        <v>73</v>
      </c>
      <c r="G17" s="49" t="s">
        <v>73</v>
      </c>
      <c r="H17" s="46"/>
      <c r="I17" s="47"/>
      <c r="M17" s="50" t="s">
        <v>111</v>
      </c>
      <c r="T17" s="7" t="s">
        <v>108</v>
      </c>
      <c r="U17" t="s">
        <v>109</v>
      </c>
      <c r="V17" s="46"/>
      <c r="W17" s="47"/>
    </row>
    <row r="18" spans="1:34" ht="45.75" x14ac:dyDescent="0.3">
      <c r="A18" s="2" t="s">
        <v>95</v>
      </c>
      <c r="B18" s="3" t="s">
        <v>112</v>
      </c>
      <c r="C18" t="s">
        <v>113</v>
      </c>
      <c r="D18" s="45">
        <v>26103</v>
      </c>
      <c r="E18" s="5" t="s">
        <v>114</v>
      </c>
      <c r="F18" s="49" t="s">
        <v>73</v>
      </c>
      <c r="G18" s="49" t="s">
        <v>73</v>
      </c>
      <c r="H18" s="46"/>
      <c r="I18" s="74" t="s">
        <v>115</v>
      </c>
      <c r="M18" s="50" t="s">
        <v>116</v>
      </c>
      <c r="Q18" s="50" t="s">
        <v>117</v>
      </c>
      <c r="T18" s="7" t="s">
        <v>112</v>
      </c>
      <c r="U18" t="s">
        <v>113</v>
      </c>
      <c r="V18" s="46"/>
      <c r="W18" s="75" t="s">
        <v>365</v>
      </c>
    </row>
    <row r="19" spans="1:34" ht="45.75" x14ac:dyDescent="0.3">
      <c r="A19" s="2" t="s">
        <v>95</v>
      </c>
      <c r="B19" s="3" t="s">
        <v>118</v>
      </c>
      <c r="C19" t="s">
        <v>119</v>
      </c>
      <c r="D19" s="45">
        <v>31200</v>
      </c>
      <c r="E19" s="5" t="s">
        <v>120</v>
      </c>
      <c r="F19" s="49" t="s">
        <v>73</v>
      </c>
      <c r="G19" s="49" t="s">
        <v>73</v>
      </c>
      <c r="H19" s="46"/>
      <c r="I19" s="47"/>
      <c r="K19" s="50" t="s">
        <v>121</v>
      </c>
      <c r="N19" s="121" t="s">
        <v>122</v>
      </c>
      <c r="T19" s="7" t="s">
        <v>118</v>
      </c>
      <c r="U19" t="s">
        <v>119</v>
      </c>
      <c r="V19" s="46"/>
      <c r="W19" s="47"/>
    </row>
    <row r="20" spans="1:34" ht="45.75" x14ac:dyDescent="0.3">
      <c r="A20" s="2" t="s">
        <v>95</v>
      </c>
      <c r="B20" s="3" t="s">
        <v>123</v>
      </c>
      <c r="C20" t="s">
        <v>124</v>
      </c>
      <c r="D20" s="45">
        <v>27085</v>
      </c>
      <c r="E20" s="5" t="s">
        <v>125</v>
      </c>
      <c r="F20" s="49" t="s">
        <v>73</v>
      </c>
      <c r="G20" s="49" t="s">
        <v>73</v>
      </c>
      <c r="H20" s="46" t="s">
        <v>126</v>
      </c>
      <c r="I20" s="47"/>
      <c r="K20" s="51" t="s">
        <v>127</v>
      </c>
      <c r="R20" s="50" t="s">
        <v>311</v>
      </c>
      <c r="T20" s="7" t="s">
        <v>123</v>
      </c>
      <c r="U20" t="s">
        <v>124</v>
      </c>
      <c r="V20" s="46"/>
      <c r="W20" s="47"/>
    </row>
    <row r="21" spans="1:34" ht="45.75" x14ac:dyDescent="0.3">
      <c r="A21" s="2" t="s">
        <v>95</v>
      </c>
      <c r="B21" s="3" t="s">
        <v>128</v>
      </c>
      <c r="C21" t="s">
        <v>129</v>
      </c>
      <c r="D21" s="45">
        <v>22820</v>
      </c>
      <c r="E21" s="5" t="s">
        <v>130</v>
      </c>
      <c r="F21" s="49" t="s">
        <v>73</v>
      </c>
      <c r="G21" s="49" t="s">
        <v>73</v>
      </c>
      <c r="H21" s="46"/>
      <c r="I21" s="47"/>
      <c r="M21" s="51" t="s">
        <v>131</v>
      </c>
      <c r="T21" s="7" t="s">
        <v>128</v>
      </c>
      <c r="U21" t="s">
        <v>129</v>
      </c>
      <c r="V21" s="46"/>
      <c r="W21" s="47"/>
    </row>
    <row r="22" spans="1:34" ht="45.75" x14ac:dyDescent="0.3">
      <c r="A22" s="2" t="s">
        <v>95</v>
      </c>
      <c r="B22" s="3" t="s">
        <v>132</v>
      </c>
      <c r="C22" t="s">
        <v>133</v>
      </c>
      <c r="D22" s="45">
        <v>20949</v>
      </c>
      <c r="E22" s="5" t="s">
        <v>134</v>
      </c>
      <c r="F22" s="49" t="s">
        <v>73</v>
      </c>
      <c r="G22" s="49" t="s">
        <v>73</v>
      </c>
      <c r="H22" s="46"/>
      <c r="I22" s="47"/>
      <c r="K22" s="50" t="s">
        <v>135</v>
      </c>
      <c r="M22" s="50" t="s">
        <v>136</v>
      </c>
      <c r="Q22" s="51" t="s">
        <v>137</v>
      </c>
      <c r="T22" s="7" t="s">
        <v>132</v>
      </c>
      <c r="U22" t="s">
        <v>133</v>
      </c>
      <c r="V22" s="46"/>
      <c r="W22" s="47"/>
    </row>
    <row r="23" spans="1:34" ht="30.75" x14ac:dyDescent="0.3">
      <c r="A23" s="2" t="s">
        <v>95</v>
      </c>
      <c r="B23" s="3" t="s">
        <v>138</v>
      </c>
      <c r="C23" t="s">
        <v>139</v>
      </c>
      <c r="D23" s="45">
        <v>15533</v>
      </c>
      <c r="E23" s="5" t="s">
        <v>140</v>
      </c>
      <c r="F23" s="49" t="s">
        <v>73</v>
      </c>
      <c r="G23" s="49" t="s">
        <v>73</v>
      </c>
      <c r="H23" s="46"/>
      <c r="I23" s="75" t="s">
        <v>141</v>
      </c>
      <c r="T23" s="7" t="s">
        <v>138</v>
      </c>
      <c r="U23" t="s">
        <v>139</v>
      </c>
      <c r="V23" s="46"/>
      <c r="W23" s="47"/>
    </row>
    <row r="24" spans="1:34" ht="45.75" x14ac:dyDescent="0.3">
      <c r="A24" s="2" t="s">
        <v>95</v>
      </c>
      <c r="B24" s="3" t="s">
        <v>142</v>
      </c>
      <c r="C24" t="s">
        <v>143</v>
      </c>
      <c r="D24" s="45">
        <v>21470</v>
      </c>
      <c r="E24" s="5">
        <v>65</v>
      </c>
      <c r="F24" s="49" t="s">
        <v>73</v>
      </c>
      <c r="G24" s="49" t="s">
        <v>73</v>
      </c>
      <c r="H24" s="46"/>
      <c r="I24" s="47"/>
      <c r="O24" s="50" t="s">
        <v>144</v>
      </c>
      <c r="T24" s="7" t="s">
        <v>142</v>
      </c>
      <c r="U24" t="s">
        <v>143</v>
      </c>
      <c r="V24" s="46"/>
      <c r="W24" s="47"/>
    </row>
    <row r="25" spans="1:34" ht="16.5" x14ac:dyDescent="0.3">
      <c r="A25" s="2" t="s">
        <v>95</v>
      </c>
      <c r="B25" s="3" t="s">
        <v>145</v>
      </c>
      <c r="C25" t="s">
        <v>84</v>
      </c>
      <c r="D25" s="45">
        <v>24062</v>
      </c>
      <c r="E25" s="5" t="s">
        <v>146</v>
      </c>
      <c r="F25" s="52" t="s">
        <v>78</v>
      </c>
      <c r="G25" s="49" t="s">
        <v>73</v>
      </c>
      <c r="H25" s="46"/>
      <c r="I25" s="47"/>
      <c r="T25" s="7" t="s">
        <v>145</v>
      </c>
      <c r="U25" t="s">
        <v>84</v>
      </c>
      <c r="V25" s="46"/>
      <c r="W25" s="47"/>
    </row>
    <row r="26" spans="1:34" ht="45.75" x14ac:dyDescent="0.3">
      <c r="A26" s="2" t="s">
        <v>95</v>
      </c>
      <c r="B26" s="3" t="s">
        <v>147</v>
      </c>
      <c r="C26" t="s">
        <v>148</v>
      </c>
      <c r="D26" s="45">
        <v>22479</v>
      </c>
      <c r="E26" s="5" t="s">
        <v>149</v>
      </c>
      <c r="F26" s="49" t="s">
        <v>73</v>
      </c>
      <c r="G26" s="49" t="s">
        <v>73</v>
      </c>
      <c r="H26" s="76" t="s">
        <v>150</v>
      </c>
      <c r="I26" s="75" t="s">
        <v>151</v>
      </c>
      <c r="Q26" s="50" t="s">
        <v>152</v>
      </c>
      <c r="T26" s="7" t="s">
        <v>147</v>
      </c>
      <c r="U26" t="s">
        <v>148</v>
      </c>
      <c r="V26" s="76" t="s">
        <v>366</v>
      </c>
      <c r="W26" s="47"/>
    </row>
    <row r="27" spans="1:34" x14ac:dyDescent="0.25">
      <c r="A27" s="2" t="s">
        <v>95</v>
      </c>
      <c r="B27" s="62" t="s">
        <v>153</v>
      </c>
      <c r="C27" s="63" t="s">
        <v>154</v>
      </c>
      <c r="H27" s="46"/>
      <c r="I27" s="47"/>
      <c r="T27" s="7" t="s">
        <v>153</v>
      </c>
      <c r="U27" t="s">
        <v>154</v>
      </c>
      <c r="V27" s="46"/>
      <c r="W27" s="47"/>
    </row>
    <row r="28" spans="1:34" ht="16.5" x14ac:dyDescent="0.3">
      <c r="A28" s="2" t="s">
        <v>95</v>
      </c>
      <c r="B28" s="3" t="s">
        <v>155</v>
      </c>
      <c r="C28" t="s">
        <v>156</v>
      </c>
      <c r="D28" s="45">
        <v>22643</v>
      </c>
      <c r="E28" s="5" t="s">
        <v>149</v>
      </c>
      <c r="G28" s="49" t="s">
        <v>73</v>
      </c>
      <c r="H28" s="46"/>
      <c r="I28" s="47"/>
      <c r="T28" s="7" t="s">
        <v>155</v>
      </c>
      <c r="U28" t="s">
        <v>156</v>
      </c>
      <c r="V28" s="46"/>
      <c r="W28" s="47"/>
    </row>
    <row r="29" spans="1:34" s="63" customFormat="1" x14ac:dyDescent="0.25">
      <c r="A29" s="61" t="s">
        <v>95</v>
      </c>
      <c r="B29" s="62" t="s">
        <v>157</v>
      </c>
      <c r="C29" s="63" t="s">
        <v>158</v>
      </c>
      <c r="D29" s="61"/>
      <c r="E29" s="64"/>
      <c r="F29" s="64"/>
      <c r="G29" s="64"/>
      <c r="H29" s="65"/>
      <c r="I29" s="66"/>
      <c r="J29" s="64"/>
      <c r="K29" s="64"/>
      <c r="L29" s="64"/>
      <c r="M29" s="64"/>
      <c r="N29" s="64"/>
      <c r="O29" s="64"/>
      <c r="P29" s="64"/>
      <c r="Q29" s="64"/>
      <c r="R29" s="64"/>
      <c r="T29" s="67" t="s">
        <v>157</v>
      </c>
      <c r="U29" s="63" t="s">
        <v>158</v>
      </c>
      <c r="V29" s="65"/>
      <c r="W29" s="66"/>
      <c r="X29" s="64"/>
      <c r="Y29" s="64"/>
      <c r="Z29" s="64"/>
      <c r="AA29" s="64"/>
      <c r="AB29" s="64"/>
      <c r="AC29" s="64"/>
      <c r="AD29" s="64"/>
      <c r="AE29" s="64"/>
      <c r="AF29" s="64"/>
      <c r="AG29" s="64"/>
    </row>
    <row r="30" spans="1:34" s="63" customFormat="1" x14ac:dyDescent="0.25">
      <c r="A30" s="61" t="s">
        <v>95</v>
      </c>
      <c r="B30" s="62" t="s">
        <v>159</v>
      </c>
      <c r="C30" s="63" t="s">
        <v>160</v>
      </c>
      <c r="D30" s="61"/>
      <c r="E30" s="64"/>
      <c r="F30" s="64"/>
      <c r="G30" s="64"/>
      <c r="H30" s="65"/>
      <c r="I30" s="66"/>
      <c r="J30" s="64"/>
      <c r="K30" s="64"/>
      <c r="L30" s="64"/>
      <c r="M30" s="64"/>
      <c r="N30" s="64"/>
      <c r="O30" s="64"/>
      <c r="P30" s="64"/>
      <c r="Q30" s="64"/>
      <c r="R30" s="64"/>
      <c r="T30" s="67" t="s">
        <v>159</v>
      </c>
      <c r="U30" s="63" t="s">
        <v>160</v>
      </c>
      <c r="V30" s="65"/>
      <c r="W30" s="66"/>
      <c r="X30" s="64"/>
      <c r="Y30" s="64"/>
      <c r="Z30" s="64"/>
      <c r="AA30" s="64"/>
      <c r="AB30" s="64"/>
      <c r="AC30" s="64"/>
      <c r="AD30" s="64"/>
      <c r="AE30" s="64"/>
      <c r="AF30" s="64"/>
      <c r="AG30" s="64"/>
    </row>
    <row r="31" spans="1:34" s="63" customFormat="1" x14ac:dyDescent="0.25">
      <c r="A31" s="61" t="s">
        <v>95</v>
      </c>
      <c r="B31" s="62" t="s">
        <v>128</v>
      </c>
      <c r="C31" s="77" t="s">
        <v>161</v>
      </c>
      <c r="D31" s="78"/>
      <c r="E31" s="79" t="s">
        <v>162</v>
      </c>
      <c r="F31" s="79"/>
      <c r="G31" s="79"/>
      <c r="H31" s="80"/>
      <c r="I31" s="81"/>
      <c r="J31" s="79"/>
      <c r="K31" s="79"/>
      <c r="L31" s="79"/>
      <c r="M31" s="79"/>
      <c r="N31" s="79"/>
      <c r="O31" s="79"/>
      <c r="P31" s="79"/>
      <c r="Q31" s="79"/>
      <c r="R31" s="79"/>
      <c r="S31" s="77"/>
      <c r="T31" s="82" t="s">
        <v>128</v>
      </c>
      <c r="U31" s="77" t="s">
        <v>161</v>
      </c>
      <c r="V31" s="80"/>
      <c r="W31" s="81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83"/>
    </row>
    <row r="32" spans="1:34" x14ac:dyDescent="0.25">
      <c r="E32" s="2"/>
      <c r="F32" s="2"/>
      <c r="G32" s="106" t="s">
        <v>359</v>
      </c>
      <c r="H32" s="2" t="s">
        <v>163</v>
      </c>
      <c r="I32" s="2">
        <f>673+493</f>
        <v>1166</v>
      </c>
      <c r="J32" s="107"/>
      <c r="K32" s="107">
        <f>8+7+6</f>
        <v>21</v>
      </c>
      <c r="L32" s="107">
        <f>7</f>
        <v>7</v>
      </c>
      <c r="M32" s="107">
        <f>8+7+6</f>
        <v>21</v>
      </c>
      <c r="N32" s="2">
        <f>72.64+72.78</f>
        <v>145.42000000000002</v>
      </c>
      <c r="O32" s="2">
        <f>70.51+73.7</f>
        <v>144.21</v>
      </c>
      <c r="P32" s="107">
        <f>7+5</f>
        <v>12</v>
      </c>
      <c r="Q32" s="107">
        <f>8+6+5</f>
        <v>19</v>
      </c>
      <c r="R32" s="2">
        <f>55.41+67.03</f>
        <v>122.44</v>
      </c>
      <c r="S32">
        <v>65.239999999999995</v>
      </c>
      <c r="U32" s="111"/>
      <c r="V32" s="2">
        <f>617+549</f>
        <v>1166</v>
      </c>
      <c r="W32" s="2">
        <f>592</f>
        <v>592</v>
      </c>
      <c r="X32" s="112"/>
      <c r="Y32" s="112"/>
      <c r="Z32" s="112"/>
      <c r="AA32" s="112"/>
      <c r="AB32" s="112"/>
      <c r="AC32" s="112"/>
      <c r="AD32" s="112"/>
      <c r="AE32" s="112"/>
      <c r="AF32" s="113"/>
      <c r="AG32" s="112"/>
      <c r="AH32" s="111"/>
    </row>
    <row r="33" spans="1:34" x14ac:dyDescent="0.25">
      <c r="I33" s="106" t="s">
        <v>358</v>
      </c>
      <c r="J33" s="2"/>
      <c r="K33" s="2" t="s">
        <v>361</v>
      </c>
      <c r="L33" s="2">
        <v>3</v>
      </c>
      <c r="M33" s="2" t="s">
        <v>361</v>
      </c>
      <c r="P33" s="2" t="s">
        <v>360</v>
      </c>
      <c r="Q33" s="2" t="s">
        <v>394</v>
      </c>
    </row>
    <row r="34" spans="1:34" x14ac:dyDescent="0.25">
      <c r="G34" s="106"/>
      <c r="J34" s="2"/>
      <c r="K34" s="2"/>
      <c r="L34" s="2"/>
      <c r="M34" s="2"/>
    </row>
    <row r="36" spans="1:34" s="44" customFormat="1" ht="18.75" x14ac:dyDescent="0.3">
      <c r="A36" s="93" t="s">
        <v>164</v>
      </c>
      <c r="B36" s="94"/>
      <c r="C36" s="95"/>
      <c r="D36" s="42"/>
      <c r="E36" s="43"/>
      <c r="F36" s="43"/>
      <c r="G36" s="43"/>
      <c r="H36" s="5" t="s">
        <v>52</v>
      </c>
      <c r="I36" s="5" t="s">
        <v>52</v>
      </c>
      <c r="J36" s="5"/>
      <c r="K36" s="5"/>
      <c r="L36" s="5"/>
      <c r="M36" s="5"/>
      <c r="N36" s="5"/>
      <c r="O36" s="5"/>
      <c r="P36" s="5"/>
      <c r="Q36" s="5"/>
      <c r="R36" s="5"/>
      <c r="S36" s="5" t="s">
        <v>53</v>
      </c>
      <c r="T36" s="5"/>
      <c r="U36" s="5"/>
      <c r="V36" s="5" t="s">
        <v>54</v>
      </c>
      <c r="W36" s="5" t="s">
        <v>54</v>
      </c>
      <c r="X36" s="5" t="s">
        <v>55</v>
      </c>
      <c r="Y36" s="5" t="s">
        <v>56</v>
      </c>
      <c r="Z36" s="5" t="s">
        <v>57</v>
      </c>
      <c r="AA36" s="5" t="s">
        <v>58</v>
      </c>
      <c r="AB36" s="5" t="s">
        <v>59</v>
      </c>
      <c r="AC36" s="5" t="s">
        <v>60</v>
      </c>
      <c r="AD36" s="5" t="s">
        <v>61</v>
      </c>
      <c r="AE36" s="5" t="s">
        <v>62</v>
      </c>
      <c r="AF36" s="5" t="s">
        <v>63</v>
      </c>
      <c r="AG36" s="5" t="s">
        <v>64</v>
      </c>
      <c r="AH36" s="5" t="s">
        <v>65</v>
      </c>
    </row>
    <row r="37" spans="1:34" x14ac:dyDescent="0.25">
      <c r="E37" s="4" t="s">
        <v>2</v>
      </c>
      <c r="H37" s="177" t="s">
        <v>3</v>
      </c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7"/>
      <c r="V37" s="178" t="s">
        <v>4</v>
      </c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</row>
    <row r="38" spans="1:34" s="14" customFormat="1" x14ac:dyDescent="0.25">
      <c r="A38" s="8" t="s">
        <v>5</v>
      </c>
      <c r="B38" s="9" t="s">
        <v>6</v>
      </c>
      <c r="C38" s="10" t="s">
        <v>7</v>
      </c>
      <c r="D38" s="8" t="s">
        <v>8</v>
      </c>
      <c r="E38" s="4" t="s">
        <v>9</v>
      </c>
      <c r="F38" s="4" t="s">
        <v>10</v>
      </c>
      <c r="G38" s="4" t="s">
        <v>11</v>
      </c>
      <c r="H38" s="11" t="s">
        <v>12</v>
      </c>
      <c r="I38" s="12" t="s">
        <v>13</v>
      </c>
      <c r="J38" s="4" t="s">
        <v>14</v>
      </c>
      <c r="K38" s="4" t="s">
        <v>14</v>
      </c>
      <c r="L38" s="4" t="s">
        <v>15</v>
      </c>
      <c r="M38" s="4" t="s">
        <v>15</v>
      </c>
      <c r="N38" s="4" t="s">
        <v>16</v>
      </c>
      <c r="O38" s="4" t="s">
        <v>17</v>
      </c>
      <c r="P38" s="4" t="s">
        <v>18</v>
      </c>
      <c r="Q38" s="4" t="s">
        <v>18</v>
      </c>
      <c r="R38" s="12" t="s">
        <v>19</v>
      </c>
      <c r="S38" s="8" t="s">
        <v>20</v>
      </c>
      <c r="T38" s="13" t="s">
        <v>6</v>
      </c>
      <c r="U38" s="10" t="s">
        <v>7</v>
      </c>
      <c r="V38" s="11" t="s">
        <v>21</v>
      </c>
      <c r="W38" s="12" t="s">
        <v>22</v>
      </c>
      <c r="X38" s="4" t="s">
        <v>23</v>
      </c>
      <c r="Y38" s="4" t="s">
        <v>24</v>
      </c>
      <c r="Z38" s="4" t="s">
        <v>25</v>
      </c>
      <c r="AA38" s="4" t="s">
        <v>26</v>
      </c>
      <c r="AB38" s="4" t="s">
        <v>27</v>
      </c>
      <c r="AC38" s="4" t="s">
        <v>28</v>
      </c>
      <c r="AD38" s="4" t="s">
        <v>29</v>
      </c>
      <c r="AE38" s="4" t="s">
        <v>30</v>
      </c>
      <c r="AF38" s="4" t="s">
        <v>31</v>
      </c>
      <c r="AG38" s="4" t="s">
        <v>32</v>
      </c>
      <c r="AH38" s="10" t="s">
        <v>33</v>
      </c>
    </row>
    <row r="39" spans="1:34" ht="45" x14ac:dyDescent="0.25">
      <c r="A39" s="2" t="s">
        <v>66</v>
      </c>
      <c r="B39" s="3" t="s">
        <v>165</v>
      </c>
      <c r="C39" t="s">
        <v>166</v>
      </c>
      <c r="D39" s="45"/>
      <c r="E39" s="5" t="s">
        <v>77</v>
      </c>
      <c r="H39" s="46"/>
      <c r="I39" s="47"/>
      <c r="L39" s="50" t="s">
        <v>395</v>
      </c>
      <c r="M39" s="51"/>
      <c r="P39" s="50" t="s">
        <v>397</v>
      </c>
      <c r="T39" s="7" t="s">
        <v>165</v>
      </c>
      <c r="U39" t="s">
        <v>166</v>
      </c>
      <c r="V39" s="46"/>
      <c r="W39" s="75" t="s">
        <v>399</v>
      </c>
    </row>
    <row r="40" spans="1:34" ht="45.75" x14ac:dyDescent="0.3">
      <c r="A40" s="2" t="s">
        <v>66</v>
      </c>
      <c r="B40" s="3" t="s">
        <v>168</v>
      </c>
      <c r="C40" t="s">
        <v>169</v>
      </c>
      <c r="D40" s="45"/>
      <c r="E40" s="5" t="s">
        <v>149</v>
      </c>
      <c r="F40" s="49"/>
      <c r="G40" s="49"/>
      <c r="H40" s="46"/>
      <c r="I40" s="47"/>
      <c r="P40" s="50" t="s">
        <v>170</v>
      </c>
      <c r="T40" s="7" t="s">
        <v>168</v>
      </c>
      <c r="U40" t="s">
        <v>169</v>
      </c>
      <c r="V40" s="46"/>
      <c r="W40" s="47"/>
    </row>
    <row r="41" spans="1:34" ht="45.75" x14ac:dyDescent="0.3">
      <c r="A41" s="2" t="s">
        <v>66</v>
      </c>
      <c r="B41" s="3" t="s">
        <v>171</v>
      </c>
      <c r="C41" t="s">
        <v>172</v>
      </c>
      <c r="D41" s="45"/>
      <c r="E41" s="5" t="s">
        <v>173</v>
      </c>
      <c r="F41" s="49"/>
      <c r="G41" s="52"/>
      <c r="H41" s="46"/>
      <c r="I41" s="47"/>
      <c r="N41" s="50" t="s">
        <v>174</v>
      </c>
      <c r="R41" s="51" t="s">
        <v>175</v>
      </c>
      <c r="T41" s="7" t="s">
        <v>171</v>
      </c>
      <c r="U41" t="s">
        <v>172</v>
      </c>
      <c r="V41" s="46"/>
      <c r="W41" s="47"/>
    </row>
    <row r="42" spans="1:34" ht="60.75" x14ac:dyDescent="0.3">
      <c r="A42" s="2" t="s">
        <v>66</v>
      </c>
      <c r="B42" s="3" t="s">
        <v>176</v>
      </c>
      <c r="C42" t="s">
        <v>177</v>
      </c>
      <c r="D42" s="45"/>
      <c r="E42" s="5" t="s">
        <v>167</v>
      </c>
      <c r="F42" s="49"/>
      <c r="G42" s="49"/>
      <c r="H42" s="46"/>
      <c r="I42" s="47"/>
      <c r="J42" s="50" t="s">
        <v>312</v>
      </c>
      <c r="P42" s="50" t="s">
        <v>178</v>
      </c>
      <c r="T42" s="7" t="s">
        <v>176</v>
      </c>
      <c r="U42" t="s">
        <v>177</v>
      </c>
      <c r="V42" s="46"/>
      <c r="W42" s="47"/>
    </row>
    <row r="43" spans="1:34" ht="45.75" x14ac:dyDescent="0.3">
      <c r="A43" s="2" t="s">
        <v>66</v>
      </c>
      <c r="B43" s="3" t="s">
        <v>179</v>
      </c>
      <c r="C43" t="s">
        <v>180</v>
      </c>
      <c r="D43" s="45"/>
      <c r="E43" s="5" t="s">
        <v>181</v>
      </c>
      <c r="F43" s="52"/>
      <c r="G43" s="49"/>
      <c r="H43" s="76" t="s">
        <v>182</v>
      </c>
      <c r="I43" s="75" t="s">
        <v>183</v>
      </c>
      <c r="L43" s="50" t="s">
        <v>184</v>
      </c>
      <c r="T43" s="7" t="s">
        <v>179</v>
      </c>
      <c r="U43" t="s">
        <v>180</v>
      </c>
      <c r="V43" s="76" t="s">
        <v>368</v>
      </c>
      <c r="W43" s="75" t="s">
        <v>367</v>
      </c>
    </row>
    <row r="44" spans="1:34" ht="16.5" x14ac:dyDescent="0.3">
      <c r="A44" s="2" t="s">
        <v>66</v>
      </c>
      <c r="D44" s="45"/>
      <c r="F44" s="52"/>
      <c r="G44" s="49"/>
      <c r="H44" s="46"/>
      <c r="I44" s="47"/>
      <c r="T44" s="7"/>
      <c r="V44" s="46"/>
      <c r="W44" s="47"/>
    </row>
    <row r="45" spans="1:34" s="55" customFormat="1" x14ac:dyDescent="0.25">
      <c r="A45" s="2" t="s">
        <v>66</v>
      </c>
      <c r="B45" s="54"/>
      <c r="D45" s="45"/>
      <c r="E45" s="56"/>
      <c r="F45" s="56"/>
      <c r="G45" s="56"/>
      <c r="H45" s="57"/>
      <c r="I45" s="58"/>
      <c r="J45" s="56"/>
      <c r="K45" s="56"/>
      <c r="L45" s="56"/>
      <c r="M45" s="56"/>
      <c r="N45" s="56"/>
      <c r="O45" s="56"/>
      <c r="P45" s="56"/>
      <c r="Q45" s="56"/>
      <c r="R45" s="56"/>
      <c r="T45" s="59"/>
      <c r="V45" s="57"/>
      <c r="W45" s="58"/>
      <c r="X45" s="56"/>
      <c r="Y45" s="56"/>
      <c r="Z45" s="56"/>
      <c r="AA45" s="56"/>
      <c r="AB45" s="56"/>
      <c r="AC45" s="56"/>
      <c r="AD45" s="56"/>
      <c r="AE45" s="56"/>
      <c r="AF45" s="56"/>
      <c r="AG45" s="56"/>
    </row>
    <row r="46" spans="1:34" s="63" customFormat="1" x14ac:dyDescent="0.25">
      <c r="A46" s="2" t="s">
        <v>66</v>
      </c>
      <c r="B46" s="62"/>
      <c r="D46" s="61"/>
      <c r="E46" s="64"/>
      <c r="F46" s="64"/>
      <c r="G46" s="64"/>
      <c r="H46" s="65"/>
      <c r="I46" s="66"/>
      <c r="J46" s="64"/>
      <c r="K46" s="64"/>
      <c r="L46" s="64"/>
      <c r="M46" s="64"/>
      <c r="N46" s="64"/>
      <c r="O46" s="64"/>
      <c r="P46" s="64"/>
      <c r="Q46" s="64"/>
      <c r="R46" s="64"/>
      <c r="T46" s="67"/>
      <c r="V46" s="65"/>
      <c r="W46" s="66"/>
      <c r="X46" s="64"/>
      <c r="Y46" s="64"/>
      <c r="Z46" s="64"/>
      <c r="AA46" s="64"/>
      <c r="AB46" s="64"/>
      <c r="AC46" s="64"/>
      <c r="AD46" s="64"/>
      <c r="AE46" s="64"/>
      <c r="AF46" s="64"/>
      <c r="AG46" s="64"/>
    </row>
    <row r="47" spans="1:34" s="63" customFormat="1" x14ac:dyDescent="0.25">
      <c r="A47" s="2" t="s">
        <v>66</v>
      </c>
      <c r="B47" s="62"/>
      <c r="D47" s="61"/>
      <c r="E47" s="64"/>
      <c r="F47" s="64"/>
      <c r="G47" s="64"/>
      <c r="H47" s="65"/>
      <c r="I47" s="66"/>
      <c r="J47" s="64"/>
      <c r="K47" s="64"/>
      <c r="L47" s="64"/>
      <c r="M47" s="64"/>
      <c r="N47" s="64"/>
      <c r="O47" s="64"/>
      <c r="P47" s="64"/>
      <c r="Q47" s="64"/>
      <c r="R47" s="64"/>
      <c r="T47" s="67"/>
      <c r="V47" s="65"/>
      <c r="W47" s="66"/>
      <c r="X47" s="64"/>
      <c r="Y47" s="64"/>
      <c r="Z47" s="64"/>
      <c r="AA47" s="64"/>
      <c r="AB47" s="64"/>
      <c r="AC47" s="64"/>
      <c r="AD47" s="64"/>
      <c r="AE47" s="64"/>
      <c r="AF47" s="64"/>
      <c r="AG47" s="64"/>
    </row>
    <row r="48" spans="1:34" x14ac:dyDescent="0.25">
      <c r="A48" s="24"/>
      <c r="B48" s="69"/>
      <c r="C48" s="23"/>
      <c r="D48" s="24"/>
      <c r="E48" s="70"/>
      <c r="F48" s="70"/>
      <c r="G48" s="70"/>
      <c r="H48" s="71"/>
      <c r="I48" s="72"/>
      <c r="J48" s="70"/>
      <c r="K48" s="70"/>
      <c r="L48" s="70"/>
      <c r="M48" s="70"/>
      <c r="N48" s="70"/>
      <c r="O48" s="70"/>
      <c r="P48" s="70"/>
      <c r="Q48" s="70"/>
      <c r="R48" s="70"/>
      <c r="S48" s="23"/>
      <c r="T48" s="73"/>
      <c r="U48" s="23"/>
      <c r="V48" s="71"/>
      <c r="W48" s="72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23"/>
    </row>
    <row r="49" spans="1:33" ht="30" x14ac:dyDescent="0.25">
      <c r="A49" s="2" t="s">
        <v>95</v>
      </c>
      <c r="B49" s="3" t="s">
        <v>185</v>
      </c>
      <c r="C49" t="s">
        <v>186</v>
      </c>
      <c r="D49" s="45"/>
      <c r="E49" s="5" t="s">
        <v>72</v>
      </c>
      <c r="H49" s="76" t="s">
        <v>187</v>
      </c>
      <c r="I49" s="74" t="s">
        <v>188</v>
      </c>
      <c r="T49" s="7" t="s">
        <v>185</v>
      </c>
      <c r="U49" t="s">
        <v>186</v>
      </c>
      <c r="V49" s="110" t="s">
        <v>369</v>
      </c>
      <c r="W49" s="47"/>
    </row>
    <row r="50" spans="1:33" ht="45.75" x14ac:dyDescent="0.3">
      <c r="A50" s="2" t="s">
        <v>95</v>
      </c>
      <c r="B50" s="3" t="s">
        <v>189</v>
      </c>
      <c r="C50" t="s">
        <v>190</v>
      </c>
      <c r="D50" s="45"/>
      <c r="E50" s="5" t="s">
        <v>72</v>
      </c>
      <c r="F50" s="49"/>
      <c r="G50" s="49"/>
      <c r="H50" s="46"/>
      <c r="I50" s="47"/>
      <c r="M50" s="50" t="s">
        <v>191</v>
      </c>
      <c r="Q50" s="50" t="s">
        <v>192</v>
      </c>
      <c r="T50" s="7" t="s">
        <v>189</v>
      </c>
      <c r="U50" t="s">
        <v>190</v>
      </c>
      <c r="V50" s="46"/>
      <c r="W50" s="47"/>
    </row>
    <row r="51" spans="1:33" ht="45.75" x14ac:dyDescent="0.3">
      <c r="A51" s="2" t="s">
        <v>95</v>
      </c>
      <c r="B51" s="3" t="s">
        <v>193</v>
      </c>
      <c r="C51" t="s">
        <v>194</v>
      </c>
      <c r="D51" s="45"/>
      <c r="E51" s="5" t="s">
        <v>134</v>
      </c>
      <c r="F51" s="49"/>
      <c r="G51" s="49"/>
      <c r="H51" s="46"/>
      <c r="I51" s="47"/>
      <c r="R51" s="51" t="s">
        <v>195</v>
      </c>
      <c r="T51" s="7" t="s">
        <v>193</v>
      </c>
      <c r="U51" t="s">
        <v>194</v>
      </c>
      <c r="V51" s="46"/>
      <c r="W51" s="47"/>
    </row>
    <row r="52" spans="1:33" ht="16.5" x14ac:dyDescent="0.3">
      <c r="A52" s="2" t="s">
        <v>95</v>
      </c>
      <c r="B52" s="3" t="s">
        <v>196</v>
      </c>
      <c r="C52" t="s">
        <v>194</v>
      </c>
      <c r="D52" s="45"/>
      <c r="E52" s="5" t="s">
        <v>197</v>
      </c>
      <c r="F52" s="49"/>
      <c r="G52" s="49"/>
      <c r="H52" s="46"/>
      <c r="I52" s="47"/>
      <c r="R52" s="121"/>
      <c r="T52" s="7" t="s">
        <v>196</v>
      </c>
      <c r="U52" t="s">
        <v>194</v>
      </c>
      <c r="V52" s="46"/>
      <c r="W52" s="47"/>
    </row>
    <row r="53" spans="1:33" ht="30.75" x14ac:dyDescent="0.3">
      <c r="A53" s="2" t="s">
        <v>95</v>
      </c>
      <c r="B53" s="3" t="s">
        <v>198</v>
      </c>
      <c r="C53" t="s">
        <v>199</v>
      </c>
      <c r="D53" s="45"/>
      <c r="E53" s="5" t="s">
        <v>134</v>
      </c>
      <c r="F53" s="49"/>
      <c r="G53" s="49"/>
      <c r="H53" s="46"/>
      <c r="I53" s="75" t="s">
        <v>200</v>
      </c>
      <c r="T53" s="7" t="s">
        <v>198</v>
      </c>
      <c r="U53" t="s">
        <v>199</v>
      </c>
      <c r="V53" s="76" t="s">
        <v>370</v>
      </c>
      <c r="W53" s="47"/>
    </row>
    <row r="54" spans="1:33" ht="45.75" x14ac:dyDescent="0.3">
      <c r="A54" s="2" t="s">
        <v>95</v>
      </c>
      <c r="B54" s="3" t="s">
        <v>185</v>
      </c>
      <c r="C54" t="s">
        <v>166</v>
      </c>
      <c r="D54" s="45"/>
      <c r="E54" s="5" t="s">
        <v>149</v>
      </c>
      <c r="F54" s="49"/>
      <c r="G54" s="49"/>
      <c r="H54" s="46"/>
      <c r="I54" s="47"/>
      <c r="N54" s="50" t="s">
        <v>201</v>
      </c>
      <c r="R54" s="50" t="s">
        <v>202</v>
      </c>
      <c r="T54" s="7" t="s">
        <v>185</v>
      </c>
      <c r="U54" t="s">
        <v>166</v>
      </c>
      <c r="V54" s="46"/>
      <c r="W54" s="47"/>
    </row>
    <row r="55" spans="1:33" ht="45.75" x14ac:dyDescent="0.3">
      <c r="A55" s="2" t="s">
        <v>95</v>
      </c>
      <c r="B55" s="3" t="s">
        <v>203</v>
      </c>
      <c r="C55" t="s">
        <v>204</v>
      </c>
      <c r="D55" s="45"/>
      <c r="E55" s="5" t="s">
        <v>205</v>
      </c>
      <c r="F55" s="49"/>
      <c r="G55" s="49"/>
      <c r="H55" s="46"/>
      <c r="I55" s="47"/>
      <c r="Q55" s="50" t="s">
        <v>206</v>
      </c>
      <c r="T55" s="7" t="s">
        <v>203</v>
      </c>
      <c r="U55" t="s">
        <v>204</v>
      </c>
      <c r="V55" s="46"/>
      <c r="W55" s="47"/>
    </row>
    <row r="56" spans="1:33" ht="45.75" x14ac:dyDescent="0.3">
      <c r="A56" s="2" t="s">
        <v>95</v>
      </c>
      <c r="B56" s="3" t="s">
        <v>207</v>
      </c>
      <c r="C56" t="s">
        <v>208</v>
      </c>
      <c r="D56" s="45"/>
      <c r="E56" s="5" t="s">
        <v>209</v>
      </c>
      <c r="F56" s="49"/>
      <c r="G56" s="49"/>
      <c r="H56" s="46"/>
      <c r="I56" s="47"/>
      <c r="K56" s="50" t="s">
        <v>210</v>
      </c>
      <c r="R56" s="50" t="s">
        <v>211</v>
      </c>
      <c r="T56" s="7" t="s">
        <v>207</v>
      </c>
      <c r="U56" t="s">
        <v>208</v>
      </c>
      <c r="V56" s="46"/>
      <c r="W56" s="47"/>
    </row>
    <row r="57" spans="1:33" ht="16.5" x14ac:dyDescent="0.3">
      <c r="A57" s="2" t="s">
        <v>95</v>
      </c>
      <c r="B57" s="3" t="s">
        <v>212</v>
      </c>
      <c r="C57" t="s">
        <v>213</v>
      </c>
      <c r="D57" s="45"/>
      <c r="E57" s="5" t="s">
        <v>214</v>
      </c>
      <c r="F57" s="49"/>
      <c r="G57" s="49"/>
      <c r="H57" s="46"/>
      <c r="I57" s="47"/>
      <c r="T57" s="7" t="s">
        <v>212</v>
      </c>
      <c r="U57" t="s">
        <v>213</v>
      </c>
      <c r="V57" s="46"/>
      <c r="W57" s="47"/>
    </row>
    <row r="58" spans="1:33" ht="45.75" x14ac:dyDescent="0.3">
      <c r="A58" s="2" t="s">
        <v>95</v>
      </c>
      <c r="B58" s="3" t="s">
        <v>215</v>
      </c>
      <c r="C58" t="s">
        <v>216</v>
      </c>
      <c r="D58" s="45"/>
      <c r="E58" s="5" t="s">
        <v>130</v>
      </c>
      <c r="F58" s="49"/>
      <c r="G58" s="49"/>
      <c r="H58" s="46"/>
      <c r="I58" s="47"/>
      <c r="K58" s="50" t="s">
        <v>217</v>
      </c>
      <c r="T58" s="7" t="s">
        <v>215</v>
      </c>
      <c r="U58" t="s">
        <v>216</v>
      </c>
      <c r="V58" s="46"/>
      <c r="W58" s="47"/>
    </row>
    <row r="59" spans="1:33" ht="16.5" x14ac:dyDescent="0.3">
      <c r="A59" s="2" t="s">
        <v>95</v>
      </c>
      <c r="B59" s="3" t="s">
        <v>215</v>
      </c>
      <c r="C59" t="s">
        <v>186</v>
      </c>
      <c r="D59" s="45"/>
      <c r="E59" s="5" t="s">
        <v>218</v>
      </c>
      <c r="F59" s="49"/>
      <c r="G59" s="49"/>
      <c r="H59" s="46"/>
      <c r="I59" s="47"/>
      <c r="M59" s="121"/>
      <c r="O59" s="49"/>
      <c r="P59" s="49"/>
      <c r="Q59" s="121"/>
      <c r="T59" s="7" t="s">
        <v>215</v>
      </c>
      <c r="U59" t="s">
        <v>186</v>
      </c>
      <c r="V59" s="46"/>
      <c r="W59" s="47"/>
    </row>
    <row r="60" spans="1:33" ht="16.5" x14ac:dyDescent="0.3">
      <c r="A60" s="2" t="s">
        <v>95</v>
      </c>
      <c r="B60" s="3" t="s">
        <v>189</v>
      </c>
      <c r="C60" t="s">
        <v>219</v>
      </c>
      <c r="D60" s="45"/>
      <c r="E60" s="5" t="s">
        <v>149</v>
      </c>
      <c r="F60" s="52"/>
      <c r="G60" s="49"/>
      <c r="H60" s="46"/>
      <c r="I60" s="47"/>
      <c r="T60" s="7" t="s">
        <v>189</v>
      </c>
      <c r="U60" t="s">
        <v>219</v>
      </c>
      <c r="V60" s="46"/>
      <c r="W60" s="47"/>
    </row>
    <row r="61" spans="1:33" ht="16.5" x14ac:dyDescent="0.3">
      <c r="A61" s="2" t="s">
        <v>95</v>
      </c>
      <c r="D61" s="45"/>
      <c r="F61" s="49"/>
      <c r="G61" s="49"/>
      <c r="H61" s="46"/>
      <c r="I61" s="47"/>
      <c r="T61" s="7"/>
      <c r="V61" s="46"/>
      <c r="W61" s="47"/>
    </row>
    <row r="62" spans="1:33" x14ac:dyDescent="0.25">
      <c r="A62" s="2" t="s">
        <v>95</v>
      </c>
      <c r="H62" s="46"/>
      <c r="I62" s="47"/>
      <c r="T62" s="7"/>
      <c r="V62" s="46"/>
      <c r="W62" s="47"/>
    </row>
    <row r="63" spans="1:33" x14ac:dyDescent="0.25">
      <c r="A63" s="2" t="s">
        <v>95</v>
      </c>
      <c r="H63" s="46"/>
      <c r="I63" s="47"/>
      <c r="T63" s="7"/>
      <c r="V63" s="46"/>
      <c r="W63" s="47"/>
    </row>
    <row r="64" spans="1:33" s="63" customFormat="1" x14ac:dyDescent="0.25">
      <c r="A64" s="2" t="s">
        <v>95</v>
      </c>
      <c r="B64" s="62"/>
      <c r="D64" s="61"/>
      <c r="E64" s="64"/>
      <c r="F64" s="64"/>
      <c r="G64" s="64"/>
      <c r="H64" s="65"/>
      <c r="I64" s="66"/>
      <c r="J64" s="64"/>
      <c r="K64" s="64"/>
      <c r="L64" s="64"/>
      <c r="M64" s="64"/>
      <c r="N64" s="64"/>
      <c r="O64" s="64"/>
      <c r="P64" s="64"/>
      <c r="Q64" s="64"/>
      <c r="R64" s="64"/>
      <c r="T64" s="67"/>
      <c r="V64" s="65"/>
      <c r="W64" s="66"/>
      <c r="X64" s="64"/>
      <c r="Y64" s="64"/>
      <c r="Z64" s="64"/>
      <c r="AA64" s="64"/>
      <c r="AB64" s="64"/>
      <c r="AC64" s="64"/>
      <c r="AD64" s="64"/>
      <c r="AE64" s="64"/>
      <c r="AF64" s="64"/>
      <c r="AG64" s="64"/>
    </row>
    <row r="65" spans="1:34" s="63" customFormat="1" x14ac:dyDescent="0.25">
      <c r="A65" s="2" t="s">
        <v>95</v>
      </c>
      <c r="B65" s="62"/>
      <c r="D65" s="61"/>
      <c r="E65" s="64"/>
      <c r="F65" s="64"/>
      <c r="G65" s="64"/>
      <c r="H65" s="65"/>
      <c r="I65" s="66"/>
      <c r="J65" s="64"/>
      <c r="K65" s="64"/>
      <c r="L65" s="64"/>
      <c r="M65" s="64"/>
      <c r="N65" s="64"/>
      <c r="O65" s="64"/>
      <c r="P65" s="64"/>
      <c r="Q65" s="64"/>
      <c r="R65" s="64"/>
      <c r="T65" s="67"/>
      <c r="V65" s="65"/>
      <c r="W65" s="66"/>
      <c r="X65" s="64"/>
      <c r="Y65" s="64"/>
      <c r="Z65" s="64"/>
      <c r="AA65" s="64"/>
      <c r="AB65" s="64"/>
      <c r="AC65" s="64"/>
      <c r="AD65" s="64"/>
      <c r="AE65" s="64"/>
      <c r="AF65" s="64"/>
      <c r="AG65" s="64"/>
    </row>
    <row r="66" spans="1:34" s="63" customFormat="1" x14ac:dyDescent="0.25">
      <c r="A66" s="2" t="s">
        <v>95</v>
      </c>
      <c r="B66" s="62"/>
      <c r="C66" s="77"/>
      <c r="D66" s="78"/>
      <c r="E66" s="79"/>
      <c r="F66" s="79"/>
      <c r="G66" s="79"/>
      <c r="H66" s="80"/>
      <c r="I66" s="81"/>
      <c r="J66" s="79"/>
      <c r="K66" s="79"/>
      <c r="L66" s="79"/>
      <c r="M66" s="79"/>
      <c r="N66" s="79"/>
      <c r="O66" s="79"/>
      <c r="P66" s="79"/>
      <c r="Q66" s="79"/>
      <c r="R66" s="79"/>
      <c r="S66" s="77"/>
      <c r="T66" s="82"/>
      <c r="U66" s="77"/>
      <c r="V66" s="80"/>
      <c r="W66" s="81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83"/>
    </row>
    <row r="67" spans="1:34" x14ac:dyDescent="0.25">
      <c r="E67" s="2"/>
      <c r="F67" s="2"/>
      <c r="G67" s="106" t="s">
        <v>359</v>
      </c>
      <c r="H67" s="2">
        <f>861+787</f>
        <v>1648</v>
      </c>
      <c r="I67" s="2">
        <f>606+520</f>
        <v>1126</v>
      </c>
      <c r="J67" s="107">
        <f>10</f>
        <v>10</v>
      </c>
      <c r="K67" s="107">
        <f>10+5</f>
        <v>15</v>
      </c>
      <c r="L67" s="107">
        <f>10+8</f>
        <v>18</v>
      </c>
      <c r="M67" s="107">
        <f>10</f>
        <v>10</v>
      </c>
      <c r="N67" s="2">
        <f>69.21+52.25</f>
        <v>121.46</v>
      </c>
      <c r="O67" s="2"/>
      <c r="P67" s="107">
        <f>10+8+6</f>
        <v>24</v>
      </c>
      <c r="Q67" s="107">
        <f>10+7</f>
        <v>17</v>
      </c>
      <c r="R67" s="2">
        <f>53.27+60.61</f>
        <v>113.88</v>
      </c>
      <c r="S67">
        <v>57.08</v>
      </c>
      <c r="V67" s="2">
        <f>726+774</f>
        <v>1500</v>
      </c>
      <c r="W67" s="2">
        <f>880+509</f>
        <v>1389</v>
      </c>
      <c r="X67" s="37"/>
      <c r="Y67" s="37"/>
      <c r="Z67" s="37"/>
      <c r="AA67" s="37"/>
      <c r="AB67" s="37"/>
      <c r="AC67" s="37"/>
      <c r="AD67" s="37"/>
      <c r="AE67" s="37"/>
      <c r="AF67" s="101"/>
      <c r="AG67" s="37"/>
    </row>
    <row r="68" spans="1:34" x14ac:dyDescent="0.25">
      <c r="E68" s="2"/>
      <c r="F68" s="2"/>
      <c r="H68" s="2"/>
      <c r="I68" s="106" t="s">
        <v>358</v>
      </c>
      <c r="J68" s="2">
        <v>1</v>
      </c>
      <c r="K68" s="2" t="s">
        <v>363</v>
      </c>
      <c r="L68" s="2" t="s">
        <v>346</v>
      </c>
      <c r="M68" s="2">
        <v>1</v>
      </c>
      <c r="N68" s="2"/>
      <c r="O68" s="2"/>
      <c r="P68" s="2" t="s">
        <v>347</v>
      </c>
      <c r="Q68" s="2" t="s">
        <v>393</v>
      </c>
      <c r="R68" s="2"/>
      <c r="V68" s="2"/>
      <c r="W68" s="2"/>
      <c r="X68" s="37"/>
      <c r="Y68" s="37"/>
      <c r="Z68" s="37"/>
      <c r="AA68" s="37"/>
      <c r="AB68" s="37"/>
      <c r="AC68" s="37"/>
      <c r="AD68" s="37"/>
      <c r="AE68" s="37"/>
      <c r="AF68" s="101"/>
      <c r="AG68" s="37"/>
    </row>
    <row r="69" spans="1:34" x14ac:dyDescent="0.25">
      <c r="E69" s="2"/>
      <c r="F69" s="2"/>
      <c r="G69" s="2"/>
      <c r="H69" s="2"/>
      <c r="I69" s="2"/>
      <c r="N69" s="2"/>
      <c r="O69" s="2"/>
      <c r="P69" s="2"/>
      <c r="Q69" s="2"/>
      <c r="R69" s="2"/>
      <c r="V69" s="2"/>
      <c r="W69" s="2"/>
      <c r="X69" s="37"/>
      <c r="Y69" s="37"/>
      <c r="Z69" s="37"/>
      <c r="AA69" s="37"/>
      <c r="AB69" s="37"/>
      <c r="AC69" s="37"/>
      <c r="AD69" s="37"/>
      <c r="AE69" s="37"/>
      <c r="AF69" s="101"/>
      <c r="AG69" s="37"/>
    </row>
    <row r="70" spans="1:34" x14ac:dyDescent="0.25">
      <c r="H70" s="105" t="s">
        <v>349</v>
      </c>
      <c r="I70" s="105" t="s">
        <v>350</v>
      </c>
      <c r="S70" s="124" t="s">
        <v>402</v>
      </c>
    </row>
    <row r="71" spans="1:34" x14ac:dyDescent="0.25">
      <c r="C71" s="102"/>
      <c r="D71" s="104" t="s">
        <v>337</v>
      </c>
      <c r="H71" s="5" t="s">
        <v>339</v>
      </c>
      <c r="I71" s="5" t="s">
        <v>351</v>
      </c>
      <c r="J71" s="100" t="s">
        <v>313</v>
      </c>
      <c r="K71" s="122" t="s">
        <v>319</v>
      </c>
      <c r="L71" s="100" t="s">
        <v>321</v>
      </c>
      <c r="M71" s="122" t="s">
        <v>326</v>
      </c>
      <c r="P71" s="100" t="s">
        <v>329</v>
      </c>
      <c r="Q71" s="122" t="s">
        <v>335</v>
      </c>
      <c r="S71" s="122">
        <f>K71+M71+Q71</f>
        <v>262.72000000000003</v>
      </c>
      <c r="T71" s="15" t="s">
        <v>35</v>
      </c>
    </row>
    <row r="72" spans="1:34" x14ac:dyDescent="0.25">
      <c r="C72" s="103"/>
      <c r="D72" s="104" t="s">
        <v>338</v>
      </c>
      <c r="H72" s="5" t="s">
        <v>340</v>
      </c>
      <c r="I72" s="5" t="s">
        <v>352</v>
      </c>
      <c r="K72" s="123" t="s">
        <v>314</v>
      </c>
      <c r="L72" s="100" t="s">
        <v>396</v>
      </c>
      <c r="M72" s="123" t="s">
        <v>322</v>
      </c>
      <c r="P72" s="100" t="s">
        <v>398</v>
      </c>
      <c r="Q72" s="123" t="s">
        <v>331</v>
      </c>
      <c r="S72" s="118">
        <f>K72+M72+Q72</f>
        <v>231.19</v>
      </c>
      <c r="T72" s="15" t="s">
        <v>37</v>
      </c>
    </row>
    <row r="73" spans="1:34" x14ac:dyDescent="0.25">
      <c r="C73" s="109"/>
      <c r="D73" s="2" t="s">
        <v>362</v>
      </c>
      <c r="H73" s="5" t="s">
        <v>341</v>
      </c>
      <c r="I73" s="5" t="s">
        <v>353</v>
      </c>
      <c r="K73" s="99" t="s">
        <v>315</v>
      </c>
      <c r="L73" s="99" t="s">
        <v>320</v>
      </c>
      <c r="M73" s="99" t="s">
        <v>323</v>
      </c>
      <c r="P73" s="99" t="s">
        <v>328</v>
      </c>
      <c r="Q73" s="100" t="s">
        <v>336</v>
      </c>
    </row>
    <row r="74" spans="1:34" x14ac:dyDescent="0.25">
      <c r="H74" s="5" t="s">
        <v>342</v>
      </c>
      <c r="I74" s="5" t="s">
        <v>354</v>
      </c>
      <c r="K74" s="99" t="s">
        <v>317</v>
      </c>
      <c r="M74" s="99" t="s">
        <v>325</v>
      </c>
      <c r="P74" s="100" t="s">
        <v>330</v>
      </c>
      <c r="Q74" s="99" t="s">
        <v>332</v>
      </c>
    </row>
    <row r="75" spans="1:34" x14ac:dyDescent="0.25">
      <c r="H75" s="5" t="s">
        <v>343</v>
      </c>
      <c r="I75" s="5" t="s">
        <v>355</v>
      </c>
      <c r="K75" s="108" t="s">
        <v>316</v>
      </c>
      <c r="M75" s="108" t="s">
        <v>324</v>
      </c>
      <c r="P75" s="99" t="s">
        <v>327</v>
      </c>
      <c r="Q75" s="99" t="s">
        <v>334</v>
      </c>
    </row>
    <row r="76" spans="1:34" x14ac:dyDescent="0.25">
      <c r="H76" s="5" t="s">
        <v>344</v>
      </c>
      <c r="I76" s="5" t="s">
        <v>356</v>
      </c>
      <c r="K76" s="100" t="s">
        <v>318</v>
      </c>
      <c r="Q76" s="108" t="s">
        <v>333</v>
      </c>
    </row>
    <row r="77" spans="1:34" x14ac:dyDescent="0.25">
      <c r="H77" s="5" t="s">
        <v>345</v>
      </c>
      <c r="I77" s="5" t="s">
        <v>357</v>
      </c>
    </row>
  </sheetData>
  <sortState xmlns:xlrd2="http://schemas.microsoft.com/office/spreadsheetml/2017/richdata2" ref="Q71:Q77">
    <sortCondition descending="1" ref="Q71:Q77"/>
  </sortState>
  <mergeCells count="4">
    <mergeCell ref="H2:S2"/>
    <mergeCell ref="V2:AH2"/>
    <mergeCell ref="H37:S37"/>
    <mergeCell ref="V37:AH37"/>
  </mergeCells>
  <pageMargins left="0.7" right="0.7" top="0.75" bottom="0.5" header="0.3" footer="0.3"/>
  <pageSetup orientation="portrait" horizontalDpi="1200" verticalDpi="1200" r:id="rId1"/>
  <headerFooter>
    <oddHeader>&amp;C&amp;"Courier"&amp;12UNCLASSIFIED</oddHeader>
    <oddFooter>&amp;C&amp;"Courier"&amp;12UNCLASSIFIED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1BC0-FCAA-4B45-8E52-1555C8F64346}">
  <dimension ref="A1:AF32"/>
  <sheetViews>
    <sheetView workbookViewId="0">
      <selection activeCell="M38" sqref="M38"/>
    </sheetView>
  </sheetViews>
  <sheetFormatPr defaultRowHeight="15" x14ac:dyDescent="0.25"/>
  <cols>
    <col min="1" max="1" width="9.140625" style="2"/>
    <col min="2" max="2" width="12.140625" style="3" customWidth="1"/>
    <col min="3" max="3" width="12.42578125" customWidth="1"/>
    <col min="4" max="4" width="12" style="2" customWidth="1"/>
    <col min="5" max="5" width="5.7109375" style="5" customWidth="1"/>
    <col min="6" max="7" width="4.7109375" style="5" customWidth="1"/>
    <col min="8" max="8" width="7.140625" style="5" customWidth="1"/>
    <col min="9" max="9" width="7.5703125" style="5" customWidth="1"/>
    <col min="10" max="10" width="9.140625" style="5"/>
    <col min="11" max="11" width="11.7109375" style="5" customWidth="1"/>
    <col min="12" max="15" width="9.140625" style="5"/>
    <col min="17" max="17" width="12.140625" style="3" customWidth="1"/>
    <col min="18" max="18" width="12.42578125" customWidth="1"/>
    <col min="19" max="19" width="7.28515625" style="5" customWidth="1"/>
    <col min="20" max="20" width="7.42578125" style="5" customWidth="1"/>
    <col min="21" max="21" width="9.140625" style="5"/>
    <col min="22" max="22" width="9.42578125" style="5" customWidth="1"/>
    <col min="23" max="27" width="9.140625" style="5"/>
    <col min="28" max="28" width="9.5703125" style="5" customWidth="1"/>
    <col min="29" max="29" width="9.140625" style="5"/>
    <col min="30" max="30" width="9.7109375" style="5" customWidth="1"/>
    <col min="31" max="31" width="9.85546875" customWidth="1"/>
    <col min="32" max="32" width="47" customWidth="1"/>
  </cols>
  <sheetData>
    <row r="1" spans="1:32" s="44" customFormat="1" ht="18.75" x14ac:dyDescent="0.3">
      <c r="A1" s="1" t="s">
        <v>220</v>
      </c>
      <c r="B1" s="40"/>
      <c r="C1" s="41"/>
      <c r="D1" s="42"/>
      <c r="E1" s="43"/>
      <c r="F1" s="43"/>
      <c r="G1" s="43"/>
      <c r="H1" s="5" t="s">
        <v>52</v>
      </c>
      <c r="I1" s="5" t="s">
        <v>52</v>
      </c>
      <c r="J1" s="5"/>
      <c r="K1" s="5"/>
      <c r="L1" s="5"/>
      <c r="M1" s="5"/>
      <c r="N1" s="5"/>
      <c r="O1" s="5"/>
      <c r="P1" s="5" t="s">
        <v>53</v>
      </c>
      <c r="Q1" s="5"/>
      <c r="R1" s="5"/>
      <c r="S1" s="5" t="s">
        <v>54</v>
      </c>
      <c r="T1" s="5" t="s">
        <v>54</v>
      </c>
      <c r="U1" s="5" t="s">
        <v>55</v>
      </c>
      <c r="V1" s="5" t="s">
        <v>56</v>
      </c>
      <c r="W1" s="5" t="s">
        <v>57</v>
      </c>
      <c r="X1" s="5" t="s">
        <v>58</v>
      </c>
      <c r="Y1" s="5" t="s">
        <v>59</v>
      </c>
      <c r="Z1" s="5" t="s">
        <v>60</v>
      </c>
      <c r="AA1" s="5" t="s">
        <v>61</v>
      </c>
      <c r="AB1" s="5" t="s">
        <v>62</v>
      </c>
      <c r="AC1" s="5" t="s">
        <v>63</v>
      </c>
      <c r="AD1" s="5" t="s">
        <v>64</v>
      </c>
      <c r="AE1" s="5" t="s">
        <v>65</v>
      </c>
    </row>
    <row r="2" spans="1:32" x14ac:dyDescent="0.25">
      <c r="E2" s="4" t="s">
        <v>2</v>
      </c>
      <c r="H2" s="177" t="s">
        <v>3</v>
      </c>
      <c r="I2" s="174"/>
      <c r="J2" s="174"/>
      <c r="K2" s="174"/>
      <c r="L2" s="174"/>
      <c r="M2" s="174"/>
      <c r="N2" s="174"/>
      <c r="O2" s="174"/>
      <c r="P2" s="174"/>
      <c r="Q2" s="7"/>
      <c r="S2" s="178" t="s">
        <v>4</v>
      </c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</row>
    <row r="3" spans="1:32" s="14" customFormat="1" x14ac:dyDescent="0.25">
      <c r="A3" s="8" t="s">
        <v>5</v>
      </c>
      <c r="B3" s="9" t="s">
        <v>6</v>
      </c>
      <c r="C3" s="10" t="s">
        <v>7</v>
      </c>
      <c r="D3" s="8" t="s">
        <v>8</v>
      </c>
      <c r="E3" s="4" t="s">
        <v>9</v>
      </c>
      <c r="F3" s="4" t="s">
        <v>10</v>
      </c>
      <c r="G3" s="4" t="s">
        <v>11</v>
      </c>
      <c r="H3" s="11" t="s">
        <v>12</v>
      </c>
      <c r="I3" s="12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12" t="s">
        <v>19</v>
      </c>
      <c r="P3" s="8" t="s">
        <v>20</v>
      </c>
      <c r="Q3" s="13" t="s">
        <v>6</v>
      </c>
      <c r="R3" s="10" t="s">
        <v>7</v>
      </c>
      <c r="S3" s="11" t="s">
        <v>21</v>
      </c>
      <c r="T3" s="12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  <c r="AB3" s="4" t="s">
        <v>30</v>
      </c>
      <c r="AC3" s="4" t="s">
        <v>31</v>
      </c>
      <c r="AD3" s="4" t="s">
        <v>32</v>
      </c>
      <c r="AE3" s="10" t="s">
        <v>33</v>
      </c>
      <c r="AF3" s="10" t="s">
        <v>34</v>
      </c>
    </row>
    <row r="4" spans="1:32" ht="45" x14ac:dyDescent="0.25">
      <c r="A4" s="2" t="s">
        <v>66</v>
      </c>
      <c r="B4" s="3" t="s">
        <v>221</v>
      </c>
      <c r="C4" t="s">
        <v>222</v>
      </c>
      <c r="D4" s="45">
        <v>35263</v>
      </c>
      <c r="E4" s="5" t="s">
        <v>223</v>
      </c>
      <c r="H4" s="76" t="s">
        <v>224</v>
      </c>
      <c r="I4" s="47"/>
      <c r="L4" s="50" t="s">
        <v>225</v>
      </c>
      <c r="Q4" s="7" t="s">
        <v>221</v>
      </c>
      <c r="R4" t="s">
        <v>222</v>
      </c>
      <c r="S4" s="46"/>
      <c r="T4" s="47"/>
      <c r="AF4" s="48"/>
    </row>
    <row r="5" spans="1:32" ht="16.5" x14ac:dyDescent="0.3">
      <c r="D5" s="45"/>
      <c r="F5" s="49"/>
      <c r="G5" s="49"/>
      <c r="H5" s="46"/>
      <c r="I5" s="47"/>
      <c r="Q5" s="7"/>
      <c r="S5" s="46"/>
      <c r="T5" s="47"/>
      <c r="AF5" s="48"/>
    </row>
    <row r="6" spans="1:32" ht="16.5" x14ac:dyDescent="0.3">
      <c r="D6" s="45"/>
      <c r="F6" s="49"/>
      <c r="G6" s="52"/>
      <c r="H6" s="46"/>
      <c r="I6" s="47"/>
      <c r="Q6" s="7"/>
      <c r="S6" s="46"/>
      <c r="T6" s="47"/>
      <c r="AF6" s="48"/>
    </row>
    <row r="7" spans="1:32" ht="16.5" x14ac:dyDescent="0.3">
      <c r="D7" s="45"/>
      <c r="F7" s="49"/>
      <c r="G7" s="49"/>
      <c r="H7" s="46"/>
      <c r="I7" s="47"/>
      <c r="Q7" s="7"/>
      <c r="S7" s="46"/>
      <c r="T7" s="47"/>
      <c r="AF7" s="48"/>
    </row>
    <row r="8" spans="1:32" ht="16.5" x14ac:dyDescent="0.3">
      <c r="D8" s="45"/>
      <c r="F8" s="52"/>
      <c r="G8" s="49"/>
      <c r="H8" s="46"/>
      <c r="I8" s="47"/>
      <c r="Q8" s="7"/>
      <c r="S8" s="46"/>
      <c r="T8" s="47"/>
      <c r="AF8" s="48"/>
    </row>
    <row r="9" spans="1:32" ht="16.5" x14ac:dyDescent="0.3">
      <c r="D9" s="45"/>
      <c r="F9" s="52"/>
      <c r="G9" s="49"/>
      <c r="H9" s="46"/>
      <c r="I9" s="47"/>
      <c r="Q9" s="7"/>
      <c r="S9" s="46"/>
      <c r="T9" s="47"/>
      <c r="AF9" s="48"/>
    </row>
    <row r="10" spans="1:32" s="55" customFormat="1" x14ac:dyDescent="0.25">
      <c r="A10" s="53"/>
      <c r="B10" s="54"/>
      <c r="D10" s="45"/>
      <c r="E10" s="56"/>
      <c r="F10" s="56"/>
      <c r="G10" s="56"/>
      <c r="H10" s="57"/>
      <c r="I10" s="58"/>
      <c r="J10" s="56"/>
      <c r="K10" s="56"/>
      <c r="L10" s="56"/>
      <c r="M10" s="56"/>
      <c r="N10" s="56"/>
      <c r="O10" s="56"/>
      <c r="Q10" s="59"/>
      <c r="S10" s="57"/>
      <c r="T10" s="58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F10" s="60"/>
    </row>
    <row r="11" spans="1:32" s="63" customFormat="1" x14ac:dyDescent="0.25">
      <c r="A11" s="61"/>
      <c r="B11" s="62"/>
      <c r="D11" s="61"/>
      <c r="E11" s="64"/>
      <c r="F11" s="64"/>
      <c r="G11" s="64"/>
      <c r="H11" s="65"/>
      <c r="I11" s="66"/>
      <c r="J11" s="64"/>
      <c r="K11" s="64"/>
      <c r="L11" s="64"/>
      <c r="M11" s="64"/>
      <c r="N11" s="64"/>
      <c r="O11" s="64"/>
      <c r="Q11" s="67"/>
      <c r="S11" s="65"/>
      <c r="T11" s="66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F11" s="68"/>
    </row>
    <row r="12" spans="1:32" s="63" customFormat="1" x14ac:dyDescent="0.25">
      <c r="A12" s="61"/>
      <c r="B12" s="62"/>
      <c r="D12" s="61"/>
      <c r="E12" s="64"/>
      <c r="F12" s="64"/>
      <c r="G12" s="64"/>
      <c r="H12" s="65"/>
      <c r="I12" s="66"/>
      <c r="J12" s="64"/>
      <c r="K12" s="64"/>
      <c r="L12" s="64"/>
      <c r="M12" s="64"/>
      <c r="N12" s="64"/>
      <c r="O12" s="64"/>
      <c r="Q12" s="67"/>
      <c r="S12" s="65"/>
      <c r="T12" s="66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F12" s="68"/>
    </row>
    <row r="13" spans="1:32" x14ac:dyDescent="0.25">
      <c r="A13" s="24"/>
      <c r="B13" s="69"/>
      <c r="C13" s="23"/>
      <c r="D13" s="24"/>
      <c r="E13" s="70"/>
      <c r="F13" s="70"/>
      <c r="G13" s="70"/>
      <c r="H13" s="71"/>
      <c r="I13" s="72"/>
      <c r="J13" s="70"/>
      <c r="K13" s="70"/>
      <c r="L13" s="70"/>
      <c r="M13" s="70"/>
      <c r="N13" s="70"/>
      <c r="O13" s="70"/>
      <c r="P13" s="23"/>
      <c r="Q13" s="73"/>
      <c r="R13" s="23"/>
      <c r="S13" s="71"/>
      <c r="T13" s="72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23"/>
      <c r="AF13" s="23"/>
    </row>
    <row r="14" spans="1:32" x14ac:dyDescent="0.25">
      <c r="A14" s="2" t="s">
        <v>95</v>
      </c>
      <c r="D14" s="45"/>
      <c r="H14" s="46"/>
      <c r="I14" s="47"/>
      <c r="Q14" s="7"/>
      <c r="S14" s="46"/>
      <c r="T14" s="47"/>
      <c r="AF14" s="48"/>
    </row>
    <row r="15" spans="1:32" ht="16.5" x14ac:dyDescent="0.3">
      <c r="D15" s="45"/>
      <c r="F15" s="49"/>
      <c r="G15" s="49"/>
      <c r="H15" s="46"/>
      <c r="I15" s="47"/>
      <c r="Q15" s="7"/>
      <c r="S15" s="46"/>
      <c r="T15" s="47"/>
      <c r="AF15" s="48"/>
    </row>
    <row r="16" spans="1:32" ht="16.5" x14ac:dyDescent="0.3">
      <c r="D16" s="45"/>
      <c r="F16" s="49"/>
      <c r="G16" s="49"/>
      <c r="H16" s="46"/>
      <c r="I16" s="47"/>
      <c r="Q16" s="7"/>
      <c r="S16" s="46"/>
      <c r="T16" s="47"/>
      <c r="AF16" s="48"/>
    </row>
    <row r="17" spans="1:32" ht="16.5" x14ac:dyDescent="0.3">
      <c r="D17" s="45"/>
      <c r="F17" s="49"/>
      <c r="G17" s="49"/>
      <c r="H17" s="46"/>
      <c r="I17" s="47"/>
      <c r="Q17" s="7"/>
      <c r="S17" s="46"/>
      <c r="T17" s="47"/>
      <c r="AF17" s="48"/>
    </row>
    <row r="18" spans="1:32" ht="16.5" x14ac:dyDescent="0.3">
      <c r="D18" s="45"/>
      <c r="F18" s="49"/>
      <c r="G18" s="49"/>
      <c r="H18" s="46"/>
      <c r="I18" s="47"/>
      <c r="Q18" s="7"/>
      <c r="S18" s="46"/>
      <c r="T18" s="47"/>
      <c r="AF18" s="48"/>
    </row>
    <row r="19" spans="1:32" ht="16.5" x14ac:dyDescent="0.3">
      <c r="D19" s="45"/>
      <c r="F19" s="49"/>
      <c r="G19" s="49"/>
      <c r="H19" s="46"/>
      <c r="I19" s="47"/>
      <c r="Q19" s="7"/>
      <c r="S19" s="46"/>
      <c r="T19" s="47"/>
      <c r="AF19" s="48"/>
    </row>
    <row r="20" spans="1:32" ht="16.5" x14ac:dyDescent="0.3">
      <c r="D20" s="45"/>
      <c r="F20" s="49"/>
      <c r="G20" s="49"/>
      <c r="H20" s="46"/>
      <c r="I20" s="47"/>
      <c r="Q20" s="7"/>
      <c r="S20" s="46"/>
      <c r="T20" s="47"/>
      <c r="AF20" s="48"/>
    </row>
    <row r="21" spans="1:32" ht="16.5" x14ac:dyDescent="0.3">
      <c r="D21" s="45"/>
      <c r="F21" s="49"/>
      <c r="G21" s="49"/>
      <c r="H21" s="46"/>
      <c r="I21" s="47"/>
      <c r="Q21" s="7"/>
      <c r="S21" s="46"/>
      <c r="T21" s="47"/>
      <c r="AF21" s="48"/>
    </row>
    <row r="22" spans="1:32" ht="16.5" x14ac:dyDescent="0.3">
      <c r="D22" s="45"/>
      <c r="F22" s="49"/>
      <c r="G22" s="49"/>
      <c r="H22" s="46"/>
      <c r="I22" s="47"/>
      <c r="Q22" s="7"/>
      <c r="S22" s="46"/>
      <c r="T22" s="47"/>
      <c r="AF22" s="48"/>
    </row>
    <row r="23" spans="1:32" ht="16.5" x14ac:dyDescent="0.3">
      <c r="D23" s="45"/>
      <c r="F23" s="49"/>
      <c r="G23" s="49"/>
      <c r="H23" s="46"/>
      <c r="I23" s="47"/>
      <c r="Q23" s="7"/>
      <c r="S23" s="46"/>
      <c r="T23" s="47"/>
      <c r="AF23" s="48"/>
    </row>
    <row r="24" spans="1:32" ht="16.5" x14ac:dyDescent="0.3">
      <c r="D24" s="45"/>
      <c r="F24" s="49"/>
      <c r="G24" s="49"/>
      <c r="H24" s="46"/>
      <c r="I24" s="47"/>
      <c r="M24" s="49"/>
      <c r="Q24" s="7"/>
      <c r="S24" s="46"/>
      <c r="T24" s="47"/>
      <c r="AF24" s="48"/>
    </row>
    <row r="25" spans="1:32" ht="16.5" x14ac:dyDescent="0.3">
      <c r="D25" s="45"/>
      <c r="F25" s="52"/>
      <c r="G25" s="49"/>
      <c r="H25" s="46"/>
      <c r="I25" s="47"/>
      <c r="Q25" s="7"/>
      <c r="S25" s="46"/>
      <c r="T25" s="47"/>
      <c r="AF25" s="48"/>
    </row>
    <row r="26" spans="1:32" ht="16.5" x14ac:dyDescent="0.3">
      <c r="D26" s="45"/>
      <c r="F26" s="49"/>
      <c r="G26" s="49"/>
      <c r="H26" s="46"/>
      <c r="I26" s="47"/>
      <c r="Q26" s="7"/>
      <c r="S26" s="46"/>
      <c r="T26" s="47"/>
      <c r="AF26" s="48"/>
    </row>
    <row r="27" spans="1:32" x14ac:dyDescent="0.25">
      <c r="H27" s="46"/>
      <c r="I27" s="47"/>
      <c r="Q27" s="7"/>
      <c r="S27" s="46"/>
      <c r="T27" s="47"/>
      <c r="AF27" s="48"/>
    </row>
    <row r="28" spans="1:32" x14ac:dyDescent="0.25">
      <c r="H28" s="46"/>
      <c r="I28" s="47"/>
      <c r="Q28" s="7"/>
      <c r="S28" s="46"/>
      <c r="T28" s="47"/>
      <c r="AF28" s="48"/>
    </row>
    <row r="29" spans="1:32" s="63" customFormat="1" x14ac:dyDescent="0.25">
      <c r="A29" s="61"/>
      <c r="B29" s="62"/>
      <c r="D29" s="61"/>
      <c r="E29" s="64"/>
      <c r="F29" s="64"/>
      <c r="G29" s="64"/>
      <c r="H29" s="65"/>
      <c r="I29" s="66"/>
      <c r="J29" s="64"/>
      <c r="K29" s="64"/>
      <c r="L29" s="64"/>
      <c r="M29" s="64"/>
      <c r="N29" s="64"/>
      <c r="O29" s="64"/>
      <c r="Q29" s="67"/>
      <c r="S29" s="65"/>
      <c r="T29" s="66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F29" s="68"/>
    </row>
    <row r="30" spans="1:32" s="63" customFormat="1" x14ac:dyDescent="0.25">
      <c r="A30" s="61"/>
      <c r="B30" s="62"/>
      <c r="D30" s="61"/>
      <c r="E30" s="64"/>
      <c r="F30" s="64"/>
      <c r="G30" s="64"/>
      <c r="H30" s="65"/>
      <c r="I30" s="66"/>
      <c r="J30" s="64"/>
      <c r="K30" s="64"/>
      <c r="L30" s="64"/>
      <c r="M30" s="64"/>
      <c r="N30" s="64"/>
      <c r="O30" s="64"/>
      <c r="Q30" s="67"/>
      <c r="S30" s="65"/>
      <c r="T30" s="66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F30" s="68"/>
    </row>
    <row r="31" spans="1:32" s="63" customFormat="1" x14ac:dyDescent="0.25">
      <c r="A31" s="61"/>
      <c r="B31" s="62"/>
      <c r="C31" s="77"/>
      <c r="D31" s="78"/>
      <c r="E31" s="79"/>
      <c r="F31" s="79"/>
      <c r="G31" s="79"/>
      <c r="H31" s="80"/>
      <c r="I31" s="81"/>
      <c r="J31" s="79"/>
      <c r="K31" s="79"/>
      <c r="L31" s="79"/>
      <c r="M31" s="79"/>
      <c r="N31" s="79"/>
      <c r="O31" s="79"/>
      <c r="P31" s="77"/>
      <c r="Q31" s="82"/>
      <c r="R31" s="77"/>
      <c r="S31" s="80"/>
      <c r="T31" s="81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83"/>
      <c r="AF31" s="68"/>
    </row>
    <row r="32" spans="1:32" x14ac:dyDescent="0.25">
      <c r="E32" s="2"/>
      <c r="F32" s="2"/>
      <c r="G32" s="2"/>
      <c r="H32" s="2">
        <f>797</f>
        <v>797</v>
      </c>
      <c r="I32" s="2"/>
      <c r="J32" s="2"/>
      <c r="K32" s="2"/>
      <c r="L32" s="2">
        <f>64.67</f>
        <v>64.67</v>
      </c>
      <c r="M32" s="2"/>
      <c r="N32" s="2"/>
      <c r="O32" s="2"/>
      <c r="S32" s="2"/>
      <c r="T32" s="2"/>
      <c r="U32" s="37"/>
      <c r="V32" s="37"/>
      <c r="W32" s="37"/>
      <c r="X32" s="37"/>
      <c r="Y32" s="37"/>
      <c r="Z32" s="37"/>
      <c r="AA32" s="37"/>
      <c r="AB32" s="37"/>
      <c r="AC32" s="101"/>
      <c r="AD32" s="37"/>
    </row>
  </sheetData>
  <mergeCells count="2">
    <mergeCell ref="H2:P2"/>
    <mergeCell ref="S2:AE2"/>
  </mergeCells>
  <pageMargins left="0.7" right="0.7" top="0.75" bottom="0.5" header="0.3" footer="0.3"/>
  <pageSetup orientation="portrait" r:id="rId1"/>
  <headerFooter>
    <oddHeader>&amp;C&amp;"Courier"&amp;12UNCLASSIFIED</oddHeader>
    <oddFooter>&amp;C&amp;"Courier"&amp;12UNCLASSIFIED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58C8E-CFB5-41C9-9A27-29A5676A8066}">
  <dimension ref="A1:AI32"/>
  <sheetViews>
    <sheetView workbookViewId="0">
      <pane ySplit="3" topLeftCell="A4" activePane="bottomLeft" state="frozen"/>
      <selection pane="bottomLeft" activeCell="K16" sqref="K16"/>
    </sheetView>
  </sheetViews>
  <sheetFormatPr defaultRowHeight="15" x14ac:dyDescent="0.25"/>
  <cols>
    <col min="1" max="1" width="9.140625" style="2"/>
    <col min="2" max="2" width="12.140625" style="3" customWidth="1"/>
    <col min="3" max="3" width="12.42578125" customWidth="1"/>
    <col min="4" max="4" width="12" style="2" customWidth="1"/>
    <col min="5" max="5" width="5.7109375" style="5" customWidth="1"/>
    <col min="6" max="7" width="4.7109375" style="5" customWidth="1"/>
    <col min="8" max="8" width="7.140625" style="5" customWidth="1"/>
    <col min="9" max="9" width="7.5703125" style="5" customWidth="1"/>
    <col min="10" max="11" width="9.140625" style="5"/>
    <col min="12" max="13" width="11.7109375" style="5" customWidth="1"/>
    <col min="14" max="18" width="9.140625" style="5"/>
    <col min="20" max="20" width="12.140625" style="3" customWidth="1"/>
    <col min="21" max="21" width="12.42578125" customWidth="1"/>
    <col min="22" max="22" width="7.28515625" style="5" customWidth="1"/>
    <col min="23" max="23" width="7.42578125" style="5" customWidth="1"/>
    <col min="24" max="24" width="9.140625" style="5"/>
    <col min="25" max="25" width="9.42578125" style="5" customWidth="1"/>
    <col min="26" max="30" width="9.140625" style="5"/>
    <col min="31" max="31" width="9.5703125" style="5" customWidth="1"/>
    <col min="32" max="32" width="9.140625" style="5"/>
    <col min="33" max="33" width="9.7109375" style="5" customWidth="1"/>
    <col min="34" max="34" width="9.85546875" customWidth="1"/>
    <col min="35" max="35" width="47" customWidth="1"/>
  </cols>
  <sheetData>
    <row r="1" spans="1:35" s="44" customFormat="1" ht="18.75" x14ac:dyDescent="0.3">
      <c r="A1" s="1" t="s">
        <v>226</v>
      </c>
      <c r="B1" s="40"/>
      <c r="C1" s="41"/>
      <c r="D1" s="42"/>
      <c r="E1" s="43"/>
      <c r="F1" s="43"/>
      <c r="G1" s="43"/>
      <c r="H1" s="5" t="s">
        <v>52</v>
      </c>
      <c r="I1" s="5" t="s">
        <v>52</v>
      </c>
      <c r="J1" s="5"/>
      <c r="K1" s="5"/>
      <c r="L1" s="5"/>
      <c r="M1" s="5"/>
      <c r="N1" s="5"/>
      <c r="O1" s="5"/>
      <c r="P1" s="5"/>
      <c r="Q1" s="5"/>
      <c r="R1" s="5"/>
      <c r="S1" s="5" t="s">
        <v>53</v>
      </c>
      <c r="T1" s="5"/>
      <c r="U1" s="5"/>
      <c r="V1" s="5" t="s">
        <v>54</v>
      </c>
      <c r="W1" s="5" t="s">
        <v>54</v>
      </c>
      <c r="X1" s="5" t="s">
        <v>55</v>
      </c>
      <c r="Y1" s="5" t="s">
        <v>56</v>
      </c>
      <c r="Z1" s="5" t="s">
        <v>57</v>
      </c>
      <c r="AA1" s="5" t="s">
        <v>58</v>
      </c>
      <c r="AB1" s="5" t="s">
        <v>59</v>
      </c>
      <c r="AC1" s="5" t="s">
        <v>60</v>
      </c>
      <c r="AD1" s="5" t="s">
        <v>61</v>
      </c>
      <c r="AE1" s="5" t="s">
        <v>62</v>
      </c>
      <c r="AF1" s="5" t="s">
        <v>63</v>
      </c>
      <c r="AG1" s="5" t="s">
        <v>64</v>
      </c>
      <c r="AH1" s="5" t="s">
        <v>65</v>
      </c>
    </row>
    <row r="2" spans="1:35" x14ac:dyDescent="0.25">
      <c r="E2" s="4" t="s">
        <v>2</v>
      </c>
      <c r="H2" s="177" t="s">
        <v>3</v>
      </c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7"/>
      <c r="V2" s="178" t="s">
        <v>4</v>
      </c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</row>
    <row r="3" spans="1:35" s="14" customFormat="1" x14ac:dyDescent="0.25">
      <c r="A3" s="8" t="s">
        <v>5</v>
      </c>
      <c r="B3" s="9" t="s">
        <v>6</v>
      </c>
      <c r="C3" s="10" t="s">
        <v>7</v>
      </c>
      <c r="D3" s="8" t="s">
        <v>8</v>
      </c>
      <c r="E3" s="4" t="s">
        <v>9</v>
      </c>
      <c r="F3" s="4" t="s">
        <v>10</v>
      </c>
      <c r="G3" s="4" t="s">
        <v>11</v>
      </c>
      <c r="H3" s="11" t="s">
        <v>12</v>
      </c>
      <c r="I3" s="12" t="s">
        <v>13</v>
      </c>
      <c r="J3" s="4" t="s">
        <v>14</v>
      </c>
      <c r="K3" s="4" t="s">
        <v>14</v>
      </c>
      <c r="L3" s="4" t="s">
        <v>15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18</v>
      </c>
      <c r="R3" s="12" t="s">
        <v>19</v>
      </c>
      <c r="S3" s="8" t="s">
        <v>20</v>
      </c>
      <c r="T3" s="13" t="s">
        <v>6</v>
      </c>
      <c r="U3" s="10" t="s">
        <v>7</v>
      </c>
      <c r="V3" s="11" t="s">
        <v>21</v>
      </c>
      <c r="W3" s="12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10" t="s">
        <v>33</v>
      </c>
      <c r="AI3" s="10" t="s">
        <v>34</v>
      </c>
    </row>
    <row r="4" spans="1:35" ht="45" x14ac:dyDescent="0.25">
      <c r="A4" s="2" t="s">
        <v>66</v>
      </c>
      <c r="B4" s="3" t="s">
        <v>227</v>
      </c>
      <c r="C4" t="s">
        <v>228</v>
      </c>
      <c r="D4" s="45"/>
      <c r="E4" s="5" t="s">
        <v>197</v>
      </c>
      <c r="H4" s="76" t="s">
        <v>229</v>
      </c>
      <c r="I4" s="47"/>
      <c r="L4" s="50" t="s">
        <v>230</v>
      </c>
      <c r="T4" s="7"/>
      <c r="V4" s="46"/>
      <c r="W4" s="47"/>
      <c r="AI4" s="48"/>
    </row>
    <row r="5" spans="1:35" ht="45.75" x14ac:dyDescent="0.3">
      <c r="A5" s="2" t="s">
        <v>66</v>
      </c>
      <c r="B5" s="3" t="s">
        <v>231</v>
      </c>
      <c r="C5" t="s">
        <v>232</v>
      </c>
      <c r="D5" s="45"/>
      <c r="E5" s="5" t="s">
        <v>77</v>
      </c>
      <c r="F5" s="49"/>
      <c r="G5" s="49"/>
      <c r="H5" s="46"/>
      <c r="I5" s="47"/>
      <c r="P5" s="50" t="s">
        <v>233</v>
      </c>
      <c r="T5" s="7"/>
      <c r="V5" s="46"/>
      <c r="W5" s="47"/>
      <c r="AI5" s="48"/>
    </row>
    <row r="6" spans="1:35" ht="45.75" x14ac:dyDescent="0.3">
      <c r="A6" s="2" t="s">
        <v>66</v>
      </c>
      <c r="B6" s="3" t="s">
        <v>234</v>
      </c>
      <c r="C6" t="s">
        <v>235</v>
      </c>
      <c r="D6" s="45"/>
      <c r="E6" s="5" t="s">
        <v>236</v>
      </c>
      <c r="F6" s="49"/>
      <c r="G6" s="52"/>
      <c r="H6" s="46"/>
      <c r="I6" s="47"/>
      <c r="J6" s="50" t="s">
        <v>237</v>
      </c>
      <c r="T6" s="7"/>
      <c r="V6" s="46"/>
      <c r="W6" s="47"/>
      <c r="AI6" s="48"/>
    </row>
    <row r="7" spans="1:35" ht="45.75" x14ac:dyDescent="0.3">
      <c r="A7" s="2" t="s">
        <v>66</v>
      </c>
      <c r="B7" s="3" t="s">
        <v>238</v>
      </c>
      <c r="C7" t="s">
        <v>239</v>
      </c>
      <c r="D7" s="45"/>
      <c r="E7" s="5" t="s">
        <v>240</v>
      </c>
      <c r="F7" s="49"/>
      <c r="G7" s="49"/>
      <c r="H7" s="46"/>
      <c r="I7" s="47"/>
      <c r="N7" s="51" t="s">
        <v>241</v>
      </c>
      <c r="O7" s="51" t="s">
        <v>242</v>
      </c>
      <c r="T7" s="7"/>
      <c r="V7" s="46"/>
      <c r="W7" s="47"/>
      <c r="AI7" s="48"/>
    </row>
    <row r="8" spans="1:35" ht="30.75" x14ac:dyDescent="0.3">
      <c r="A8" s="2" t="s">
        <v>66</v>
      </c>
      <c r="B8" s="3" t="s">
        <v>243</v>
      </c>
      <c r="C8" t="s">
        <v>244</v>
      </c>
      <c r="D8" s="45"/>
      <c r="E8" s="5" t="s">
        <v>245</v>
      </c>
      <c r="F8" s="52"/>
      <c r="G8" s="49"/>
      <c r="H8" s="46"/>
      <c r="I8" s="74" t="s">
        <v>246</v>
      </c>
      <c r="T8" s="7"/>
      <c r="V8" s="46"/>
      <c r="W8" s="47"/>
      <c r="AI8" s="48"/>
    </row>
    <row r="9" spans="1:35" ht="30.75" x14ac:dyDescent="0.3">
      <c r="A9" s="2" t="s">
        <v>66</v>
      </c>
      <c r="B9" s="3" t="s">
        <v>238</v>
      </c>
      <c r="C9" t="s">
        <v>247</v>
      </c>
      <c r="D9" s="45"/>
      <c r="E9" s="5" t="s">
        <v>149</v>
      </c>
      <c r="F9" s="52"/>
      <c r="G9" s="49"/>
      <c r="H9" s="46"/>
      <c r="I9" s="74" t="s">
        <v>248</v>
      </c>
      <c r="T9" s="7"/>
      <c r="V9" s="46"/>
      <c r="W9" s="47"/>
      <c r="AI9" s="48"/>
    </row>
    <row r="10" spans="1:35" s="55" customFormat="1" ht="30" x14ac:dyDescent="0.25">
      <c r="A10" s="2" t="s">
        <v>66</v>
      </c>
      <c r="B10" s="54" t="s">
        <v>249</v>
      </c>
      <c r="C10" s="55" t="s">
        <v>250</v>
      </c>
      <c r="D10" s="45"/>
      <c r="E10" s="56" t="s">
        <v>130</v>
      </c>
      <c r="F10" s="56"/>
      <c r="G10" s="56"/>
      <c r="H10" s="57"/>
      <c r="I10" s="85" t="s">
        <v>251</v>
      </c>
      <c r="J10" s="56"/>
      <c r="K10" s="56"/>
      <c r="L10" s="56"/>
      <c r="M10" s="56"/>
      <c r="N10" s="56"/>
      <c r="O10" s="56"/>
      <c r="P10" s="56"/>
      <c r="Q10" s="56"/>
      <c r="R10" s="56"/>
      <c r="T10" s="59"/>
      <c r="V10" s="57"/>
      <c r="W10" s="58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I10" s="60"/>
    </row>
    <row r="11" spans="1:35" s="63" customFormat="1" x14ac:dyDescent="0.25">
      <c r="A11" s="2" t="s">
        <v>66</v>
      </c>
      <c r="B11" s="62"/>
      <c r="D11" s="61"/>
      <c r="E11" s="64"/>
      <c r="F11" s="64"/>
      <c r="G11" s="64"/>
      <c r="H11" s="65"/>
      <c r="I11" s="66"/>
      <c r="J11" s="64"/>
      <c r="K11" s="64"/>
      <c r="L11" s="64"/>
      <c r="M11" s="64"/>
      <c r="N11" s="64"/>
      <c r="O11" s="64"/>
      <c r="P11" s="64"/>
      <c r="Q11" s="64"/>
      <c r="R11" s="64"/>
      <c r="T11" s="67"/>
      <c r="V11" s="65"/>
      <c r="W11" s="66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I11" s="68"/>
    </row>
    <row r="12" spans="1:35" s="63" customFormat="1" x14ac:dyDescent="0.25">
      <c r="A12" s="2" t="s">
        <v>66</v>
      </c>
      <c r="B12" s="62"/>
      <c r="D12" s="61"/>
      <c r="E12" s="64"/>
      <c r="F12" s="64"/>
      <c r="G12" s="64"/>
      <c r="H12" s="65"/>
      <c r="I12" s="66"/>
      <c r="J12" s="64"/>
      <c r="K12" s="64"/>
      <c r="L12" s="64"/>
      <c r="M12" s="64"/>
      <c r="N12" s="64"/>
      <c r="O12" s="64"/>
      <c r="P12" s="64"/>
      <c r="Q12" s="64"/>
      <c r="R12" s="64"/>
      <c r="T12" s="67"/>
      <c r="V12" s="65"/>
      <c r="W12" s="66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I12" s="68"/>
    </row>
    <row r="13" spans="1:35" x14ac:dyDescent="0.25">
      <c r="A13" s="24"/>
      <c r="B13" s="69"/>
      <c r="C13" s="23"/>
      <c r="D13" s="24"/>
      <c r="E13" s="70"/>
      <c r="F13" s="70"/>
      <c r="G13" s="70"/>
      <c r="H13" s="71"/>
      <c r="I13" s="72"/>
      <c r="J13" s="70"/>
      <c r="K13" s="70"/>
      <c r="L13" s="70"/>
      <c r="M13" s="70"/>
      <c r="N13" s="70"/>
      <c r="O13" s="70"/>
      <c r="P13" s="70"/>
      <c r="Q13" s="70"/>
      <c r="R13" s="70"/>
      <c r="S13" s="23"/>
      <c r="T13" s="73"/>
      <c r="U13" s="23"/>
      <c r="V13" s="71"/>
      <c r="W13" s="72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23"/>
      <c r="AI13" s="23"/>
    </row>
    <row r="14" spans="1:35" ht="45" x14ac:dyDescent="0.25">
      <c r="A14" s="2" t="s">
        <v>95</v>
      </c>
      <c r="B14" s="3" t="s">
        <v>252</v>
      </c>
      <c r="C14" t="s">
        <v>253</v>
      </c>
      <c r="D14" s="45"/>
      <c r="E14" s="5" t="s">
        <v>254</v>
      </c>
      <c r="H14" s="46"/>
      <c r="I14" s="47"/>
      <c r="M14" s="50" t="s">
        <v>255</v>
      </c>
      <c r="Q14" s="50" t="s">
        <v>256</v>
      </c>
      <c r="T14" s="7"/>
      <c r="V14" s="46"/>
      <c r="W14" s="47"/>
      <c r="AI14" s="48"/>
    </row>
    <row r="15" spans="1:35" ht="45.75" x14ac:dyDescent="0.3">
      <c r="A15" s="2" t="s">
        <v>95</v>
      </c>
      <c r="B15" s="3" t="s">
        <v>257</v>
      </c>
      <c r="C15" t="s">
        <v>258</v>
      </c>
      <c r="D15" s="45"/>
      <c r="E15" s="5" t="s">
        <v>259</v>
      </c>
      <c r="F15" s="49"/>
      <c r="G15" s="49"/>
      <c r="H15" s="46"/>
      <c r="I15" s="47"/>
      <c r="M15" s="51" t="s">
        <v>260</v>
      </c>
      <c r="Q15" s="51" t="s">
        <v>261</v>
      </c>
      <c r="T15" s="7"/>
      <c r="V15" s="46"/>
      <c r="W15" s="47"/>
      <c r="AI15" s="48"/>
    </row>
    <row r="16" spans="1:35" ht="45.75" x14ac:dyDescent="0.3">
      <c r="A16" s="2" t="s">
        <v>95</v>
      </c>
      <c r="B16" s="3" t="s">
        <v>262</v>
      </c>
      <c r="C16" t="s">
        <v>263</v>
      </c>
      <c r="D16" s="45"/>
      <c r="E16" s="5" t="s">
        <v>197</v>
      </c>
      <c r="F16" s="49"/>
      <c r="G16" s="49"/>
      <c r="H16" s="46"/>
      <c r="I16" s="47"/>
      <c r="M16" s="50" t="s">
        <v>264</v>
      </c>
      <c r="T16" s="7"/>
      <c r="V16" s="46"/>
      <c r="W16" s="47"/>
      <c r="AI16" s="48"/>
    </row>
    <row r="17" spans="1:35" ht="45.75" x14ac:dyDescent="0.3">
      <c r="A17" s="2" t="s">
        <v>95</v>
      </c>
      <c r="B17" s="3" t="s">
        <v>99</v>
      </c>
      <c r="C17" t="s">
        <v>265</v>
      </c>
      <c r="D17" s="45"/>
      <c r="E17" s="5" t="s">
        <v>266</v>
      </c>
      <c r="F17" s="49"/>
      <c r="G17" s="49"/>
      <c r="H17" s="46"/>
      <c r="I17" s="47"/>
      <c r="M17" s="50" t="s">
        <v>267</v>
      </c>
      <c r="T17" s="7"/>
      <c r="V17" s="46"/>
      <c r="W17" s="47"/>
      <c r="AI17" s="48"/>
    </row>
    <row r="18" spans="1:35" ht="45.75" x14ac:dyDescent="0.3">
      <c r="A18" s="2" t="s">
        <v>95</v>
      </c>
      <c r="B18" s="3" t="s">
        <v>268</v>
      </c>
      <c r="C18" t="s">
        <v>269</v>
      </c>
      <c r="D18" s="45"/>
      <c r="E18" s="5" t="s">
        <v>270</v>
      </c>
      <c r="F18" s="49"/>
      <c r="G18" s="49"/>
      <c r="H18" s="46"/>
      <c r="I18" s="47"/>
      <c r="M18" s="51" t="s">
        <v>271</v>
      </c>
      <c r="Q18" s="51" t="s">
        <v>272</v>
      </c>
      <c r="T18" s="7"/>
      <c r="V18" s="46"/>
      <c r="W18" s="47"/>
      <c r="AI18" s="48"/>
    </row>
    <row r="19" spans="1:35" ht="45.75" x14ac:dyDescent="0.3">
      <c r="A19" s="2" t="s">
        <v>95</v>
      </c>
      <c r="B19" s="3" t="s">
        <v>273</v>
      </c>
      <c r="C19" t="s">
        <v>274</v>
      </c>
      <c r="D19" s="45"/>
      <c r="E19" s="5" t="s">
        <v>275</v>
      </c>
      <c r="F19" s="49"/>
      <c r="G19" s="49"/>
      <c r="H19" s="46"/>
      <c r="I19" s="47"/>
      <c r="Q19" s="50" t="s">
        <v>276</v>
      </c>
      <c r="T19" s="7"/>
      <c r="V19" s="46"/>
      <c r="W19" s="47"/>
      <c r="AI19" s="48"/>
    </row>
    <row r="20" spans="1:35" ht="45.75" x14ac:dyDescent="0.3">
      <c r="A20" s="2" t="s">
        <v>95</v>
      </c>
      <c r="B20" s="3" t="s">
        <v>277</v>
      </c>
      <c r="C20" t="s">
        <v>278</v>
      </c>
      <c r="D20" s="45"/>
      <c r="E20" s="5" t="s">
        <v>275</v>
      </c>
      <c r="F20" s="49"/>
      <c r="G20" s="49"/>
      <c r="H20" s="46"/>
      <c r="I20" s="47"/>
      <c r="Q20" s="51" t="s">
        <v>279</v>
      </c>
      <c r="T20" s="7"/>
      <c r="V20" s="46"/>
      <c r="W20" s="47"/>
      <c r="AI20" s="48"/>
    </row>
    <row r="21" spans="1:35" ht="45.75" x14ac:dyDescent="0.3">
      <c r="A21" s="2" t="s">
        <v>95</v>
      </c>
      <c r="B21" s="3" t="s">
        <v>280</v>
      </c>
      <c r="C21" t="s">
        <v>281</v>
      </c>
      <c r="D21" s="45"/>
      <c r="E21" s="5" t="s">
        <v>282</v>
      </c>
      <c r="F21" s="49"/>
      <c r="G21" s="49"/>
      <c r="H21" s="46"/>
      <c r="I21" s="47"/>
      <c r="O21" s="50" t="s">
        <v>283</v>
      </c>
      <c r="Q21" s="50" t="s">
        <v>284</v>
      </c>
      <c r="T21" s="7"/>
      <c r="V21" s="46"/>
      <c r="W21" s="47"/>
      <c r="AI21" s="48"/>
    </row>
    <row r="22" spans="1:35" ht="45.75" x14ac:dyDescent="0.3">
      <c r="A22" s="2" t="s">
        <v>95</v>
      </c>
      <c r="B22" s="3" t="s">
        <v>262</v>
      </c>
      <c r="C22" t="s">
        <v>285</v>
      </c>
      <c r="D22" s="45"/>
      <c r="E22" s="5" t="s">
        <v>275</v>
      </c>
      <c r="F22" s="49"/>
      <c r="G22" s="49"/>
      <c r="H22" s="46"/>
      <c r="I22" s="47"/>
      <c r="N22" s="50" t="s">
        <v>286</v>
      </c>
      <c r="O22" s="50" t="s">
        <v>287</v>
      </c>
      <c r="T22" s="7"/>
      <c r="V22" s="46"/>
      <c r="W22" s="47"/>
      <c r="AI22" s="48"/>
    </row>
    <row r="23" spans="1:35" ht="45.75" x14ac:dyDescent="0.3">
      <c r="A23" s="2" t="s">
        <v>95</v>
      </c>
      <c r="B23" s="3" t="s">
        <v>288</v>
      </c>
      <c r="C23" t="s">
        <v>289</v>
      </c>
      <c r="D23" s="45"/>
      <c r="E23" s="5" t="s">
        <v>240</v>
      </c>
      <c r="F23" s="49"/>
      <c r="G23" s="49"/>
      <c r="H23" s="46"/>
      <c r="I23" s="47"/>
      <c r="O23" s="51" t="s">
        <v>290</v>
      </c>
      <c r="T23" s="7"/>
      <c r="V23" s="46"/>
      <c r="W23" s="47"/>
      <c r="AI23" s="48"/>
    </row>
    <row r="24" spans="1:35" ht="45.75" x14ac:dyDescent="0.3">
      <c r="A24" s="2" t="s">
        <v>95</v>
      </c>
      <c r="B24" s="3" t="s">
        <v>291</v>
      </c>
      <c r="C24" t="s">
        <v>292</v>
      </c>
      <c r="D24" s="45"/>
      <c r="E24" s="5" t="s">
        <v>293</v>
      </c>
      <c r="F24" s="49"/>
      <c r="G24" s="49"/>
      <c r="H24" s="46"/>
      <c r="I24" s="47"/>
      <c r="N24" s="50" t="s">
        <v>294</v>
      </c>
      <c r="O24" s="51" t="s">
        <v>295</v>
      </c>
      <c r="T24" s="7"/>
      <c r="V24" s="46"/>
      <c r="W24" s="47"/>
      <c r="AI24" s="48"/>
    </row>
    <row r="25" spans="1:35" ht="45.75" x14ac:dyDescent="0.3">
      <c r="A25" s="2" t="s">
        <v>95</v>
      </c>
      <c r="B25" s="3" t="s">
        <v>147</v>
      </c>
      <c r="C25" t="s">
        <v>258</v>
      </c>
      <c r="D25" s="45"/>
      <c r="E25" s="5" t="s">
        <v>134</v>
      </c>
      <c r="F25" s="52"/>
      <c r="G25" s="49"/>
      <c r="H25" s="46"/>
      <c r="I25" s="47"/>
      <c r="O25" s="51" t="s">
        <v>296</v>
      </c>
      <c r="T25" s="7"/>
      <c r="V25" s="46"/>
      <c r="W25" s="47"/>
      <c r="AI25" s="48"/>
    </row>
    <row r="26" spans="1:35" ht="45.75" x14ac:dyDescent="0.3">
      <c r="A26" s="2" t="s">
        <v>95</v>
      </c>
      <c r="B26" s="3" t="s">
        <v>297</v>
      </c>
      <c r="C26" t="s">
        <v>298</v>
      </c>
      <c r="D26" s="45"/>
      <c r="E26" s="5" t="s">
        <v>149</v>
      </c>
      <c r="F26" s="49"/>
      <c r="G26" s="49"/>
      <c r="H26" s="46"/>
      <c r="I26" s="47"/>
      <c r="N26" s="51" t="s">
        <v>299</v>
      </c>
      <c r="T26" s="7"/>
      <c r="V26" s="46"/>
      <c r="W26" s="47"/>
      <c r="AI26" s="48"/>
    </row>
    <row r="27" spans="1:35" ht="30" x14ac:dyDescent="0.25">
      <c r="A27" s="2" t="s">
        <v>95</v>
      </c>
      <c r="B27" s="3" t="s">
        <v>300</v>
      </c>
      <c r="C27" t="s">
        <v>301</v>
      </c>
      <c r="E27" s="5" t="s">
        <v>197</v>
      </c>
      <c r="H27" s="46"/>
      <c r="I27" s="75" t="s">
        <v>302</v>
      </c>
      <c r="T27" s="7"/>
      <c r="V27" s="46"/>
      <c r="W27" s="47"/>
      <c r="AI27" s="48"/>
    </row>
    <row r="28" spans="1:35" ht="30" x14ac:dyDescent="0.25">
      <c r="A28" s="2" t="s">
        <v>95</v>
      </c>
      <c r="B28" s="3" t="s">
        <v>277</v>
      </c>
      <c r="C28" t="s">
        <v>278</v>
      </c>
      <c r="E28" s="5" t="s">
        <v>275</v>
      </c>
      <c r="H28" s="46"/>
      <c r="I28" s="75" t="s">
        <v>303</v>
      </c>
      <c r="T28" s="7"/>
      <c r="V28" s="46"/>
      <c r="W28" s="47"/>
      <c r="AI28" s="48"/>
    </row>
    <row r="29" spans="1:35" s="55" customFormat="1" ht="30" x14ac:dyDescent="0.25">
      <c r="A29" s="53" t="s">
        <v>95</v>
      </c>
      <c r="B29" s="54" t="s">
        <v>304</v>
      </c>
      <c r="C29" s="55" t="s">
        <v>305</v>
      </c>
      <c r="D29" s="53"/>
      <c r="E29" s="56" t="s">
        <v>306</v>
      </c>
      <c r="F29" s="56"/>
      <c r="G29" s="56"/>
      <c r="H29" s="57"/>
      <c r="I29" s="85" t="s">
        <v>307</v>
      </c>
      <c r="J29" s="56"/>
      <c r="K29" s="56"/>
      <c r="L29" s="56"/>
      <c r="M29" s="56"/>
      <c r="N29" s="56"/>
      <c r="O29" s="56"/>
      <c r="P29" s="56"/>
      <c r="Q29" s="56"/>
      <c r="R29" s="56"/>
      <c r="T29" s="59"/>
      <c r="V29" s="57"/>
      <c r="W29" s="58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I29" s="60"/>
    </row>
    <row r="30" spans="1:35" s="55" customFormat="1" ht="30" x14ac:dyDescent="0.25">
      <c r="A30" s="53" t="s">
        <v>95</v>
      </c>
      <c r="B30" s="54" t="s">
        <v>304</v>
      </c>
      <c r="C30" s="55" t="s">
        <v>308</v>
      </c>
      <c r="D30" s="53"/>
      <c r="E30" s="56" t="s">
        <v>309</v>
      </c>
      <c r="F30" s="56"/>
      <c r="G30" s="56"/>
      <c r="H30" s="57"/>
      <c r="I30" s="85" t="s">
        <v>310</v>
      </c>
      <c r="J30" s="56"/>
      <c r="K30" s="56"/>
      <c r="L30" s="56"/>
      <c r="M30" s="56"/>
      <c r="N30" s="56"/>
      <c r="O30" s="56"/>
      <c r="P30" s="56"/>
      <c r="Q30" s="56"/>
      <c r="R30" s="56"/>
      <c r="T30" s="59"/>
      <c r="V30" s="57"/>
      <c r="W30" s="58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I30" s="60"/>
    </row>
    <row r="31" spans="1:35" s="55" customFormat="1" x14ac:dyDescent="0.25">
      <c r="A31" s="53" t="s">
        <v>95</v>
      </c>
      <c r="B31" s="54"/>
      <c r="C31" s="86"/>
      <c r="D31" s="87"/>
      <c r="E31" s="88"/>
      <c r="F31" s="88"/>
      <c r="G31" s="88"/>
      <c r="H31" s="89"/>
      <c r="I31" s="90"/>
      <c r="J31" s="88"/>
      <c r="K31" s="88"/>
      <c r="L31" s="88"/>
      <c r="M31" s="88"/>
      <c r="N31" s="88"/>
      <c r="O31" s="88"/>
      <c r="P31" s="88"/>
      <c r="Q31" s="88"/>
      <c r="R31" s="88"/>
      <c r="S31" s="86"/>
      <c r="T31" s="91"/>
      <c r="U31" s="86"/>
      <c r="V31" s="89"/>
      <c r="W31" s="90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92"/>
      <c r="AI31" s="60"/>
    </row>
    <row r="32" spans="1:35" x14ac:dyDescent="0.25">
      <c r="E32" s="2"/>
      <c r="F32" s="2"/>
      <c r="G32" s="2"/>
      <c r="H32" s="2">
        <f>902</f>
        <v>902</v>
      </c>
      <c r="I32" s="2">
        <f>710+589</f>
        <v>1299</v>
      </c>
      <c r="J32" s="2"/>
      <c r="K32" s="2"/>
      <c r="L32" s="2"/>
      <c r="M32" s="2"/>
      <c r="N32" s="2">
        <f>81.14+81.95</f>
        <v>163.09</v>
      </c>
      <c r="O32" s="2">
        <f>82.26+83.94</f>
        <v>166.2</v>
      </c>
      <c r="P32" s="2"/>
      <c r="Q32" s="2"/>
      <c r="R32" s="2"/>
      <c r="V32" s="2"/>
      <c r="W32" s="2"/>
      <c r="X32" s="37"/>
      <c r="Y32" s="37"/>
      <c r="Z32" s="37"/>
      <c r="AA32" s="37"/>
      <c r="AB32" s="37"/>
      <c r="AC32" s="37"/>
      <c r="AD32" s="37"/>
      <c r="AE32" s="37"/>
      <c r="AF32" s="101"/>
      <c r="AG32" s="37"/>
    </row>
  </sheetData>
  <mergeCells count="2">
    <mergeCell ref="H2:S2"/>
    <mergeCell ref="V2:AH2"/>
  </mergeCells>
  <pageMargins left="0.7" right="0.7" top="0.75" bottom="0.5" header="0.3" footer="0.3"/>
  <pageSetup orientation="portrait" r:id="rId1"/>
  <headerFooter>
    <oddHeader>&amp;C&amp;"Courier"&amp;12UNCLASSIFIED</oddHeader>
    <oddFooter>&amp;C&amp;"Courier"&amp;12UNCLASSIFIED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lass:Classification xmlns:class="urn:us:gov:cia:enterprise:schema:Classification:2.3" dateClassified="2024-06-07" portionMarking="false" caveat="false" tool="Desktop" toolVersion="202410">
  <class:ClassificationMarking type="USClassificationMarking" value="UNCLASSIFIED"/>
  <class:ClassifiedBy/>
  <class:ClassificationHeader>
    <class:ClassificationBanner>UNCLASSIFIED</class:ClassificationBanner>
    <class:SCICaveat/>
    <class:DescriptiveMarkings/>
  </class:ClassificationHeader>
  <class:ClassificationFooter>
    <class:DescriptiveMarkings/>
    <class:ClassificationBanner>UNCLASSIFIED</class:ClassificationBanner>
  </class:ClassificationFooter>
</class:Classification>
</file>

<file path=customXml/itemProps1.xml><?xml version="1.0" encoding="utf-8"?>
<ds:datastoreItem xmlns:ds="http://schemas.openxmlformats.org/officeDocument/2006/customXml" ds:itemID="{AA6FE25F-8F25-4197-B7F5-B2DEA1CCFA8D}">
  <ds:schemaRefs>
    <ds:schemaRef ds:uri="urn:us:gov:cia:enterprise:schema:Classification:2.3"/>
  </ds:schemaRefs>
</ds:datastoreItem>
</file>

<file path=docMetadata/LabelInfo.xml><?xml version="1.0" encoding="utf-8"?>
<clbl:labelList xmlns:clbl="http://schemas.microsoft.com/office/2020/mipLabelMetadata">
  <clbl:label id="{3de9faa6-9fe1-49b3-9a08-227a296b54a6}" enabled="1" method="Privileged" siteId="{d5fe813e-0caa-432a-b2ac-d555aa91bd1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Overall 2024</vt:lpstr>
      <vt:lpstr>BAH &amp; ATT 2024</vt:lpstr>
      <vt:lpstr>Overall 2023</vt:lpstr>
      <vt:lpstr>BAH &amp; ATT 2023</vt:lpstr>
      <vt:lpstr>PR 2023</vt:lpstr>
      <vt:lpstr>PVTC 2023</vt:lpstr>
      <vt:lpstr>'BAH &amp; ATT 2024'!Print_Area</vt:lpstr>
      <vt:lpstr>'Overall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Gordon [USA]</dc:creator>
  <cp:lastModifiedBy>Smith, Gordon [USA]</cp:lastModifiedBy>
  <cp:lastPrinted>2024-06-10T00:23:22Z</cp:lastPrinted>
  <dcterms:created xsi:type="dcterms:W3CDTF">2023-06-10T02:41:12Z</dcterms:created>
  <dcterms:modified xsi:type="dcterms:W3CDTF">2024-06-10T00:30:44Z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rtionLastUsed">
    <vt:lpwstr>(U)</vt:lpwstr>
  </property>
  <property fmtid="{D5CDD505-2E9C-101B-9397-08002B2CF9AE}" pid="3" name="AACG_OFFICE_DLL">
    <vt:bool>true</vt:bool>
  </property>
  <property fmtid="{D5CDD505-2E9C-101B-9397-08002B2CF9AE}" pid="4" name="AACG_Created">
    <vt:bool>true</vt:bool>
  </property>
  <property fmtid="{D5CDD505-2E9C-101B-9397-08002B2CF9AE}" pid="5" name="AACG_DescMarkings">
    <vt:lpwstr/>
  </property>
  <property fmtid="{D5CDD505-2E9C-101B-9397-08002B2CF9AE}" pid="6" name="AACG_AddMark">
    <vt:lpwstr/>
  </property>
  <property fmtid="{D5CDD505-2E9C-101B-9397-08002B2CF9AE}" pid="7" name="AACG_Header">
    <vt:lpwstr>UNCLASSIFIED</vt:lpwstr>
  </property>
  <property fmtid="{D5CDD505-2E9C-101B-9397-08002B2CF9AE}" pid="8" name="AACG_Footer">
    <vt:lpwstr>_x000d_UNCLASSIFIED</vt:lpwstr>
  </property>
  <property fmtid="{D5CDD505-2E9C-101B-9397-08002B2CF9AE}" pid="9" name="AACG_ClassBlock">
    <vt:lpwstr/>
  </property>
  <property fmtid="{D5CDD505-2E9C-101B-9397-08002B2CF9AE}" pid="10" name="AACG_ClassType">
    <vt:lpwstr>USClassificationMarking</vt:lpwstr>
  </property>
  <property fmtid="{D5CDD505-2E9C-101B-9397-08002B2CF9AE}" pid="11" name="AACG_DeclOnList">
    <vt:lpwstr/>
  </property>
  <property fmtid="{D5CDD505-2E9C-101B-9397-08002B2CF9AE}" pid="12" name="AACG_USAF_Derivatives">
    <vt:lpwstr/>
  </property>
  <property fmtid="{D5CDD505-2E9C-101B-9397-08002B2CF9AE}" pid="13" name="AACG_SCI_Other">
    <vt:lpwstr/>
  </property>
  <property fmtid="{D5CDD505-2E9C-101B-9397-08002B2CF9AE}" pid="14" name="AACG_Dissem_Other">
    <vt:lpwstr/>
  </property>
  <property fmtid="{D5CDD505-2E9C-101B-9397-08002B2CF9AE}" pid="15" name="PortionWaiver">
    <vt:lpwstr/>
  </property>
  <property fmtid="{D5CDD505-2E9C-101B-9397-08002B2CF9AE}" pid="16" name="AACG_OrconOriginator">
    <vt:lpwstr/>
  </property>
  <property fmtid="{D5CDD505-2E9C-101B-9397-08002B2CF9AE}" pid="17" name="AACG_OrconRecipients">
    <vt:lpwstr/>
  </property>
  <property fmtid="{D5CDD505-2E9C-101B-9397-08002B2CF9AE}" pid="18" name="AACG_SatWarningType">
    <vt:lpwstr/>
  </property>
  <property fmtid="{D5CDD505-2E9C-101B-9397-08002B2CF9AE}" pid="19" name="AACG_NatoWarningClassLevel">
    <vt:lpwstr/>
  </property>
  <property fmtid="{D5CDD505-2E9C-101B-9397-08002B2CF9AE}" pid="20" name="AACG_Version">
    <vt:lpwstr>202410</vt:lpwstr>
  </property>
  <property fmtid="{D5CDD505-2E9C-101B-9397-08002B2CF9AE}" pid="21" name="AACG_CustomClassXMLPart">
    <vt:lpwstr>{AA6FE25F-8F25-4197-B7F5-B2DEA1CCFA8D}</vt:lpwstr>
  </property>
</Properties>
</file>